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melbcloud-my.sharepoint.com/personal/e_akpan_unimelb_edu_au/Documents/PCV Projects/PCV-Costeffectiveness-Thresholds/data/"/>
    </mc:Choice>
  </mc:AlternateContent>
  <xr:revisionPtr revIDLastSave="8580" documentId="13_ncr:1_{B0A7599F-7E5E-44A3-9AA9-FA800BF477DA}" xr6:coauthVersionLast="47" xr6:coauthVersionMax="47" xr10:uidLastSave="{28F8B607-663D-E041-8FF9-3B77C3D4A425}"/>
  <bookViews>
    <workbookView xWindow="0" yWindow="760" windowWidth="28860" windowHeight="18880" tabRatio="652" activeTab="1" xr2:uid="{00000000-000D-0000-FFFF-FFFF00000000}"/>
  </bookViews>
  <sheets>
    <sheet name="fulltext_review" sheetId="18" state="hidden" r:id="rId1"/>
    <sheet name="studies" sheetId="27" r:id="rId2"/>
    <sheet name="data" sheetId="7" r:id="rId3"/>
    <sheet name="countries" sheetId="25" r:id="rId4"/>
    <sheet name="sam random" sheetId="17" state="hidden" r:id="rId5"/>
    <sheet name="studies_NC" sheetId="20" state="hidden" r:id="rId6"/>
    <sheet name="analysis" sheetId="14" r:id="rId7"/>
    <sheet name="studies (AP)" sheetId="22" state="hidden" r:id="rId8"/>
    <sheet name="analysis (AP)" sheetId="21" state="hidden" r:id="rId9"/>
    <sheet name="thresholds" sheetId="10" r:id="rId10"/>
    <sheet name="gdppc" sheetId="11" r:id="rId11"/>
    <sheet name="xRates" sheetId="15" r:id="rId12"/>
    <sheet name="ppp" sheetId="19" r:id="rId13"/>
    <sheet name="incomeGroup" sheetId="23" r:id="rId14"/>
    <sheet name="Rivere" sheetId="26" r:id="rId15"/>
    <sheet name="high_income_archived" sheetId="13" state="hidden" r:id="rId16"/>
  </sheets>
  <definedNames>
    <definedName name="_xlnm._FilterDatabase" localSheetId="2" hidden="1">data!$A$1:$BR$197</definedName>
    <definedName name="_xlnm._FilterDatabase" localSheetId="0" hidden="1">fulltext_review!$A$1:$G$36</definedName>
    <definedName name="_xlnm._FilterDatabase" localSheetId="1" hidden="1">studies!$A$1:$BF$197</definedName>
    <definedName name="_xlnm._FilterDatabase" localSheetId="7" hidden="1">'studies (AP)'!$A$1:$AG$76</definedName>
    <definedName name="_xlnm._FilterDatabase" localSheetId="5" hidden="1">studies_NC!$A$1:$AG$190</definedName>
    <definedName name="gdppc" localSheetId="0">#REF!</definedName>
    <definedName name="gdppc">gdppc!$A:$BJ</definedName>
    <definedName name="income">incomeGroup!$A$1:$AJ$219</definedName>
    <definedName name="ochalek" localSheetId="0">#REF!</definedName>
    <definedName name="ochalek">thresholds!$J$2:$T$99</definedName>
    <definedName name="riviere">thresholds!$AC$2:$AJ$176</definedName>
    <definedName name="woods" localSheetId="0">#REF!</definedName>
    <definedName name="woods">thresholds!$V$2:$AA$184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27" l="1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2" i="27"/>
  <c r="AJ3" i="27"/>
  <c r="AJ4" i="27"/>
  <c r="AJ5" i="27"/>
  <c r="AJ6" i="27"/>
  <c r="AJ7" i="27"/>
  <c r="AJ8" i="27"/>
  <c r="AJ9" i="27"/>
  <c r="AJ10" i="27"/>
  <c r="AJ11" i="27"/>
  <c r="AJ12" i="27"/>
  <c r="AJ13" i="27"/>
  <c r="AJ14" i="27"/>
  <c r="AJ15" i="27"/>
  <c r="AJ16" i="27"/>
  <c r="AJ17" i="27"/>
  <c r="AJ18" i="27"/>
  <c r="AJ19" i="27"/>
  <c r="AJ20" i="27"/>
  <c r="AJ21" i="27"/>
  <c r="AJ22" i="27"/>
  <c r="AJ23" i="27"/>
  <c r="AJ24" i="27"/>
  <c r="AJ25" i="27"/>
  <c r="AJ26" i="27"/>
  <c r="AJ27" i="27"/>
  <c r="AJ28" i="27"/>
  <c r="AJ29" i="27"/>
  <c r="AJ30" i="27"/>
  <c r="AJ31" i="27"/>
  <c r="AJ32" i="27"/>
  <c r="AJ33" i="27"/>
  <c r="AJ34" i="27"/>
  <c r="AJ35" i="27"/>
  <c r="AJ36" i="27"/>
  <c r="AJ37" i="27"/>
  <c r="AJ38" i="27"/>
  <c r="AJ39" i="27"/>
  <c r="AJ40" i="27"/>
  <c r="AJ41" i="27"/>
  <c r="AJ42" i="27"/>
  <c r="AJ43" i="27"/>
  <c r="AJ44" i="27"/>
  <c r="AJ45" i="27"/>
  <c r="AJ46" i="27"/>
  <c r="AJ47" i="27"/>
  <c r="AJ48" i="27"/>
  <c r="AJ49" i="27"/>
  <c r="AJ50" i="27"/>
  <c r="AJ51" i="27"/>
  <c r="AJ52" i="27"/>
  <c r="AJ53" i="27"/>
  <c r="AJ54" i="27"/>
  <c r="AJ55" i="27"/>
  <c r="AJ56" i="27"/>
  <c r="AJ57" i="27"/>
  <c r="AJ58" i="27"/>
  <c r="AJ59" i="27"/>
  <c r="AJ60" i="27"/>
  <c r="AJ61" i="27"/>
  <c r="AJ62" i="27"/>
  <c r="AJ63" i="27"/>
  <c r="AJ64" i="27"/>
  <c r="AJ65" i="27"/>
  <c r="AJ66" i="27"/>
  <c r="AJ67" i="27"/>
  <c r="AJ68" i="27"/>
  <c r="AJ69" i="27"/>
  <c r="AJ70" i="27"/>
  <c r="AJ71" i="27"/>
  <c r="AJ72" i="27"/>
  <c r="AJ73" i="27"/>
  <c r="AJ74" i="27"/>
  <c r="AJ75" i="27"/>
  <c r="AJ76" i="27"/>
  <c r="AJ77" i="27"/>
  <c r="AJ78" i="27"/>
  <c r="AJ79" i="27"/>
  <c r="AJ80" i="27"/>
  <c r="AJ81" i="27"/>
  <c r="AJ82" i="27"/>
  <c r="AJ83" i="27"/>
  <c r="AJ84" i="27"/>
  <c r="AJ85" i="27"/>
  <c r="AJ86" i="27"/>
  <c r="AJ87" i="27"/>
  <c r="AJ88" i="27"/>
  <c r="AJ89" i="27"/>
  <c r="AJ90" i="27"/>
  <c r="AJ91" i="27"/>
  <c r="AJ92" i="27"/>
  <c r="AJ93" i="27"/>
  <c r="AJ94" i="27"/>
  <c r="AJ95" i="27"/>
  <c r="AJ96" i="27"/>
  <c r="AJ97" i="27"/>
  <c r="AJ98" i="27"/>
  <c r="AJ99" i="27"/>
  <c r="AJ100" i="27"/>
  <c r="AJ101" i="27"/>
  <c r="AJ102" i="27"/>
  <c r="AJ103" i="27"/>
  <c r="AJ104" i="27"/>
  <c r="AJ105" i="27"/>
  <c r="AJ106" i="27"/>
  <c r="AJ107" i="27"/>
  <c r="AJ108" i="27"/>
  <c r="AJ109" i="27"/>
  <c r="AJ110" i="27"/>
  <c r="AJ111" i="27"/>
  <c r="AJ112" i="27"/>
  <c r="AJ113" i="27"/>
  <c r="AJ114" i="27"/>
  <c r="AJ115" i="27"/>
  <c r="AJ116" i="27"/>
  <c r="AJ117" i="27"/>
  <c r="AJ118" i="27"/>
  <c r="AJ119" i="27"/>
  <c r="AJ120" i="27"/>
  <c r="AJ121" i="27"/>
  <c r="AJ122" i="27"/>
  <c r="AJ123" i="27"/>
  <c r="AJ124" i="27"/>
  <c r="AJ125" i="27"/>
  <c r="AJ126" i="27"/>
  <c r="AJ127" i="27"/>
  <c r="AJ128" i="27"/>
  <c r="AJ129" i="27"/>
  <c r="AJ130" i="27"/>
  <c r="AJ131" i="27"/>
  <c r="AJ132" i="27"/>
  <c r="AJ133" i="27"/>
  <c r="AJ134" i="27"/>
  <c r="AJ135" i="27"/>
  <c r="AJ136" i="27"/>
  <c r="AJ137" i="27"/>
  <c r="AJ138" i="27"/>
  <c r="AJ139" i="27"/>
  <c r="AJ140" i="27"/>
  <c r="AJ141" i="27"/>
  <c r="AJ142" i="27"/>
  <c r="AJ143" i="27"/>
  <c r="AJ144" i="27"/>
  <c r="AJ145" i="27"/>
  <c r="AJ146" i="27"/>
  <c r="AJ147" i="27"/>
  <c r="AJ148" i="27"/>
  <c r="AJ149" i="27"/>
  <c r="AJ150" i="27"/>
  <c r="AJ151" i="27"/>
  <c r="AJ152" i="27"/>
  <c r="AJ153" i="27"/>
  <c r="AJ154" i="27"/>
  <c r="AJ155" i="27"/>
  <c r="AJ156" i="27"/>
  <c r="AJ157" i="27"/>
  <c r="AJ158" i="27"/>
  <c r="AJ159" i="27"/>
  <c r="AJ160" i="27"/>
  <c r="AJ161" i="27"/>
  <c r="AJ162" i="27"/>
  <c r="AJ163" i="27"/>
  <c r="AJ164" i="27"/>
  <c r="AJ165" i="27"/>
  <c r="AJ166" i="27"/>
  <c r="AJ167" i="27"/>
  <c r="AJ168" i="27"/>
  <c r="AJ169" i="27"/>
  <c r="AJ170" i="27"/>
  <c r="AJ171" i="27"/>
  <c r="AJ172" i="27"/>
  <c r="AJ173" i="27"/>
  <c r="AJ174" i="27"/>
  <c r="AJ175" i="27"/>
  <c r="AJ176" i="27"/>
  <c r="AJ177" i="27"/>
  <c r="AJ178" i="27"/>
  <c r="AJ179" i="27"/>
  <c r="AJ180" i="27"/>
  <c r="AJ181" i="27"/>
  <c r="AJ182" i="27"/>
  <c r="AJ183" i="27"/>
  <c r="AJ184" i="27"/>
  <c r="AJ185" i="27"/>
  <c r="AJ186" i="27"/>
  <c r="AJ187" i="27"/>
  <c r="AJ188" i="27"/>
  <c r="AJ189" i="27"/>
  <c r="AJ190" i="27"/>
  <c r="AJ191" i="27"/>
  <c r="AJ192" i="27"/>
  <c r="AJ193" i="27"/>
  <c r="AJ194" i="27"/>
  <c r="AJ195" i="27"/>
  <c r="AJ196" i="27"/>
  <c r="AJ197" i="27"/>
  <c r="AT3" i="27"/>
  <c r="AT4" i="27"/>
  <c r="AT5" i="27"/>
  <c r="AT6" i="27"/>
  <c r="AT7" i="27"/>
  <c r="AT8" i="27"/>
  <c r="AT9" i="27"/>
  <c r="AT10" i="27"/>
  <c r="AT11" i="27"/>
  <c r="AT12" i="27"/>
  <c r="AT13" i="27"/>
  <c r="AT14" i="27"/>
  <c r="AT15" i="27"/>
  <c r="AT16" i="27"/>
  <c r="AT17" i="27"/>
  <c r="AT18" i="27"/>
  <c r="AT19" i="27"/>
  <c r="AT20" i="27"/>
  <c r="AT21" i="27"/>
  <c r="AT22" i="27"/>
  <c r="AT23" i="27"/>
  <c r="AT24" i="27"/>
  <c r="AT25" i="27"/>
  <c r="AT26" i="27"/>
  <c r="AT27" i="27"/>
  <c r="AT28" i="27"/>
  <c r="AT29" i="27"/>
  <c r="AT30" i="27"/>
  <c r="AT31" i="27"/>
  <c r="AT32" i="27"/>
  <c r="AT33" i="27"/>
  <c r="AT34" i="27"/>
  <c r="AT35" i="27"/>
  <c r="AT36" i="27"/>
  <c r="AT37" i="27"/>
  <c r="AT38" i="27"/>
  <c r="AT39" i="27"/>
  <c r="AT40" i="27"/>
  <c r="AT41" i="27"/>
  <c r="AT42" i="27"/>
  <c r="AT43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T81" i="27"/>
  <c r="AT82" i="27"/>
  <c r="AT83" i="27"/>
  <c r="AT84" i="27"/>
  <c r="AT85" i="27"/>
  <c r="AT86" i="27"/>
  <c r="AT87" i="27"/>
  <c r="AT88" i="27"/>
  <c r="AT89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121" i="27"/>
  <c r="AT122" i="27"/>
  <c r="AT123" i="27"/>
  <c r="AT124" i="27"/>
  <c r="AT125" i="27"/>
  <c r="AT126" i="27"/>
  <c r="AT127" i="27"/>
  <c r="AT128" i="27"/>
  <c r="AT129" i="27"/>
  <c r="AT130" i="27"/>
  <c r="AT131" i="27"/>
  <c r="AT132" i="27"/>
  <c r="AT133" i="27"/>
  <c r="AT134" i="27"/>
  <c r="AT135" i="27"/>
  <c r="AT136" i="27"/>
  <c r="AT137" i="27"/>
  <c r="AT138" i="27"/>
  <c r="AT139" i="27"/>
  <c r="AT140" i="27"/>
  <c r="AT141" i="27"/>
  <c r="AT142" i="27"/>
  <c r="AT143" i="27"/>
  <c r="AT144" i="27"/>
  <c r="AT145" i="27"/>
  <c r="AT146" i="27"/>
  <c r="AT147" i="27"/>
  <c r="AT148" i="27"/>
  <c r="AT149" i="27"/>
  <c r="AT150" i="27"/>
  <c r="AT151" i="27"/>
  <c r="AT152" i="27"/>
  <c r="AT153" i="27"/>
  <c r="AT154" i="27"/>
  <c r="AT155" i="27"/>
  <c r="AT156" i="27"/>
  <c r="AT157" i="27"/>
  <c r="AT158" i="27"/>
  <c r="AT159" i="27"/>
  <c r="AT160" i="27"/>
  <c r="AT161" i="27"/>
  <c r="AT162" i="27"/>
  <c r="AT163" i="27"/>
  <c r="AT164" i="27"/>
  <c r="AT165" i="27"/>
  <c r="AT166" i="27"/>
  <c r="AT167" i="27"/>
  <c r="AT168" i="27"/>
  <c r="AT169" i="27"/>
  <c r="AT170" i="27"/>
  <c r="AT171" i="27"/>
  <c r="AT172" i="27"/>
  <c r="AT173" i="27"/>
  <c r="AT174" i="27"/>
  <c r="AT175" i="27"/>
  <c r="AT176" i="27"/>
  <c r="AT177" i="27"/>
  <c r="AT178" i="27"/>
  <c r="AT179" i="27"/>
  <c r="AT180" i="27"/>
  <c r="AT181" i="27"/>
  <c r="AT182" i="27"/>
  <c r="AT183" i="27"/>
  <c r="AT184" i="27"/>
  <c r="AT185" i="27"/>
  <c r="AT186" i="27"/>
  <c r="AT187" i="27"/>
  <c r="AT188" i="27"/>
  <c r="AT189" i="27"/>
  <c r="AT190" i="27"/>
  <c r="AT191" i="27"/>
  <c r="AT192" i="27"/>
  <c r="AT193" i="27"/>
  <c r="AT194" i="27"/>
  <c r="AT195" i="27"/>
  <c r="AT196" i="27"/>
  <c r="AT197" i="27"/>
  <c r="AT2" i="27"/>
  <c r="AR3" i="27"/>
  <c r="AR4" i="27"/>
  <c r="AR5" i="27"/>
  <c r="AR6" i="27"/>
  <c r="AR7" i="27"/>
  <c r="AR8" i="27"/>
  <c r="AR9" i="27"/>
  <c r="AR10" i="27"/>
  <c r="AR11" i="27"/>
  <c r="AR12" i="27"/>
  <c r="AR13" i="27"/>
  <c r="AR14" i="27"/>
  <c r="AR15" i="27"/>
  <c r="AR16" i="27"/>
  <c r="AR17" i="27"/>
  <c r="AR18" i="27"/>
  <c r="AR19" i="27"/>
  <c r="AR20" i="27"/>
  <c r="AR21" i="27"/>
  <c r="AR22" i="27"/>
  <c r="AR23" i="27"/>
  <c r="AR24" i="27"/>
  <c r="AR25" i="27"/>
  <c r="AR26" i="27"/>
  <c r="AR27" i="27"/>
  <c r="AR28" i="27"/>
  <c r="AR29" i="27"/>
  <c r="AR30" i="27"/>
  <c r="AR31" i="27"/>
  <c r="AR32" i="27"/>
  <c r="AR33" i="27"/>
  <c r="AR34" i="27"/>
  <c r="AR35" i="27"/>
  <c r="AR36" i="27"/>
  <c r="AR37" i="27"/>
  <c r="AR38" i="27"/>
  <c r="AR39" i="27"/>
  <c r="AR40" i="27"/>
  <c r="AR41" i="27"/>
  <c r="AR42" i="27"/>
  <c r="AR43" i="27"/>
  <c r="AR44" i="27"/>
  <c r="AR45" i="27"/>
  <c r="AR46" i="27"/>
  <c r="AR47" i="27"/>
  <c r="AR48" i="27"/>
  <c r="AR49" i="27"/>
  <c r="AR50" i="27"/>
  <c r="AR51" i="27"/>
  <c r="AR52" i="27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83" i="27"/>
  <c r="AR84" i="27"/>
  <c r="AR85" i="27"/>
  <c r="AR86" i="27"/>
  <c r="AR87" i="27"/>
  <c r="AR88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156" i="27"/>
  <c r="AR157" i="27"/>
  <c r="AR158" i="27"/>
  <c r="AR159" i="27"/>
  <c r="AR160" i="27"/>
  <c r="AR161" i="27"/>
  <c r="AR162" i="27"/>
  <c r="AR163" i="27"/>
  <c r="AR164" i="27"/>
  <c r="AR165" i="27"/>
  <c r="AR166" i="27"/>
  <c r="AR167" i="27"/>
  <c r="AR168" i="27"/>
  <c r="AR169" i="27"/>
  <c r="AR170" i="27"/>
  <c r="AR171" i="27"/>
  <c r="AR172" i="27"/>
  <c r="AR173" i="27"/>
  <c r="AR174" i="27"/>
  <c r="AR175" i="27"/>
  <c r="AR176" i="27"/>
  <c r="AR177" i="27"/>
  <c r="AR178" i="27"/>
  <c r="AR179" i="27"/>
  <c r="AR180" i="27"/>
  <c r="AR181" i="27"/>
  <c r="AR182" i="27"/>
  <c r="AR183" i="27"/>
  <c r="AR184" i="27"/>
  <c r="AR185" i="27"/>
  <c r="AR186" i="27"/>
  <c r="AR187" i="27"/>
  <c r="AR188" i="27"/>
  <c r="AR189" i="27"/>
  <c r="AR190" i="27"/>
  <c r="AR191" i="27"/>
  <c r="AR192" i="27"/>
  <c r="AR193" i="27"/>
  <c r="AR194" i="27"/>
  <c r="AR195" i="27"/>
  <c r="AR196" i="27"/>
  <c r="AR197" i="27"/>
  <c r="AR2" i="27"/>
  <c r="AP3" i="27"/>
  <c r="AP4" i="27"/>
  <c r="AP5" i="27"/>
  <c r="AP6" i="27"/>
  <c r="AP7" i="27"/>
  <c r="AP8" i="27"/>
  <c r="AP9" i="27"/>
  <c r="AP10" i="27"/>
  <c r="AP11" i="27"/>
  <c r="AP12" i="27"/>
  <c r="AP13" i="27"/>
  <c r="AP14" i="27"/>
  <c r="AP15" i="27"/>
  <c r="AP16" i="27"/>
  <c r="AP17" i="27"/>
  <c r="AP18" i="27"/>
  <c r="AP19" i="27"/>
  <c r="AP20" i="27"/>
  <c r="AP21" i="27"/>
  <c r="AP22" i="27"/>
  <c r="AP23" i="27"/>
  <c r="AP24" i="27"/>
  <c r="AP25" i="27"/>
  <c r="AP26" i="27"/>
  <c r="AP27" i="27"/>
  <c r="AP28" i="27"/>
  <c r="AP29" i="27"/>
  <c r="AP30" i="27"/>
  <c r="AP31" i="27"/>
  <c r="AP32" i="27"/>
  <c r="AP33" i="27"/>
  <c r="AP34" i="27"/>
  <c r="AP35" i="27"/>
  <c r="AP36" i="27"/>
  <c r="AP37" i="27"/>
  <c r="AP38" i="27"/>
  <c r="AP39" i="27"/>
  <c r="AP40" i="27"/>
  <c r="AP41" i="27"/>
  <c r="AP42" i="27"/>
  <c r="AP43" i="27"/>
  <c r="AP44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P81" i="27"/>
  <c r="AP82" i="27"/>
  <c r="AP83" i="27"/>
  <c r="AP84" i="27"/>
  <c r="AP85" i="27"/>
  <c r="AP86" i="27"/>
  <c r="AP87" i="27"/>
  <c r="AP88" i="27"/>
  <c r="AP89" i="27"/>
  <c r="AP90" i="27"/>
  <c r="AP91" i="27"/>
  <c r="AP92" i="27"/>
  <c r="AP93" i="27"/>
  <c r="AP94" i="27"/>
  <c r="AP95" i="27"/>
  <c r="AP96" i="27"/>
  <c r="AP97" i="27"/>
  <c r="AP98" i="27"/>
  <c r="AP99" i="27"/>
  <c r="AP100" i="27"/>
  <c r="AP101" i="27"/>
  <c r="AP102" i="27"/>
  <c r="AP103" i="27"/>
  <c r="AP104" i="27"/>
  <c r="AP105" i="27"/>
  <c r="AP106" i="27"/>
  <c r="AP107" i="27"/>
  <c r="AP108" i="27"/>
  <c r="AP109" i="27"/>
  <c r="AP110" i="27"/>
  <c r="AP111" i="27"/>
  <c r="AP112" i="27"/>
  <c r="AP113" i="27"/>
  <c r="AP114" i="27"/>
  <c r="AP115" i="27"/>
  <c r="AP116" i="27"/>
  <c r="AP117" i="27"/>
  <c r="AP118" i="27"/>
  <c r="AP119" i="27"/>
  <c r="AP120" i="27"/>
  <c r="AP121" i="27"/>
  <c r="AP122" i="27"/>
  <c r="AP123" i="27"/>
  <c r="AP124" i="27"/>
  <c r="AP125" i="27"/>
  <c r="AP126" i="27"/>
  <c r="AP127" i="27"/>
  <c r="AP128" i="27"/>
  <c r="AP129" i="27"/>
  <c r="AP130" i="27"/>
  <c r="AP131" i="27"/>
  <c r="AP132" i="27"/>
  <c r="AP133" i="27"/>
  <c r="AP134" i="27"/>
  <c r="AP135" i="27"/>
  <c r="AP136" i="27"/>
  <c r="AP137" i="27"/>
  <c r="AP138" i="27"/>
  <c r="AP139" i="27"/>
  <c r="AP140" i="27"/>
  <c r="AP141" i="27"/>
  <c r="AP142" i="27"/>
  <c r="AP143" i="27"/>
  <c r="AP144" i="27"/>
  <c r="AP145" i="27"/>
  <c r="AP146" i="27"/>
  <c r="AP147" i="27"/>
  <c r="AP148" i="27"/>
  <c r="AP149" i="27"/>
  <c r="AP150" i="27"/>
  <c r="AP151" i="27"/>
  <c r="AP152" i="27"/>
  <c r="AP153" i="27"/>
  <c r="AP154" i="27"/>
  <c r="AP155" i="27"/>
  <c r="AP156" i="27"/>
  <c r="AP157" i="27"/>
  <c r="AP158" i="27"/>
  <c r="AP159" i="27"/>
  <c r="AP160" i="27"/>
  <c r="AP161" i="27"/>
  <c r="AP162" i="27"/>
  <c r="AP163" i="27"/>
  <c r="AP164" i="27"/>
  <c r="AP165" i="27"/>
  <c r="AP166" i="27"/>
  <c r="AP167" i="27"/>
  <c r="AP168" i="27"/>
  <c r="AP169" i="27"/>
  <c r="AP170" i="27"/>
  <c r="AP171" i="27"/>
  <c r="AP172" i="27"/>
  <c r="AP173" i="27"/>
  <c r="AP174" i="27"/>
  <c r="AP175" i="27"/>
  <c r="AP176" i="27"/>
  <c r="AP177" i="27"/>
  <c r="AP178" i="27"/>
  <c r="AP179" i="27"/>
  <c r="AP180" i="27"/>
  <c r="AP181" i="27"/>
  <c r="AP182" i="27"/>
  <c r="AP183" i="27"/>
  <c r="AP184" i="27"/>
  <c r="AP185" i="27"/>
  <c r="AP186" i="27"/>
  <c r="AP187" i="27"/>
  <c r="AP188" i="27"/>
  <c r="AP189" i="27"/>
  <c r="AP190" i="27"/>
  <c r="AP191" i="27"/>
  <c r="AP192" i="27"/>
  <c r="AP193" i="27"/>
  <c r="AP194" i="27"/>
  <c r="AP195" i="27"/>
  <c r="AP196" i="27"/>
  <c r="AP197" i="27"/>
  <c r="AP2" i="27"/>
  <c r="AN3" i="27"/>
  <c r="AN4" i="27"/>
  <c r="AN5" i="27"/>
  <c r="AN6" i="27"/>
  <c r="AN7" i="27"/>
  <c r="AN8" i="27"/>
  <c r="AN9" i="27"/>
  <c r="AN10" i="27"/>
  <c r="AN11" i="27"/>
  <c r="AN12" i="27"/>
  <c r="AN13" i="27"/>
  <c r="AN14" i="27"/>
  <c r="AN15" i="27"/>
  <c r="AN16" i="27"/>
  <c r="AN17" i="27"/>
  <c r="AN18" i="27"/>
  <c r="AN19" i="27"/>
  <c r="AN20" i="27"/>
  <c r="AN21" i="27"/>
  <c r="AN22" i="27"/>
  <c r="AN23" i="27"/>
  <c r="AN24" i="27"/>
  <c r="AN25" i="27"/>
  <c r="AN26" i="27"/>
  <c r="AN27" i="27"/>
  <c r="AN28" i="27"/>
  <c r="AN29" i="27"/>
  <c r="AN30" i="27"/>
  <c r="AN31" i="27"/>
  <c r="AN32" i="27"/>
  <c r="AN33" i="27"/>
  <c r="AN34" i="27"/>
  <c r="AN35" i="27"/>
  <c r="AN36" i="27"/>
  <c r="AN37" i="27"/>
  <c r="AN38" i="27"/>
  <c r="AN39" i="27"/>
  <c r="AN40" i="27"/>
  <c r="AN41" i="27"/>
  <c r="AN42" i="27"/>
  <c r="AN43" i="27"/>
  <c r="AN44" i="27"/>
  <c r="AN45" i="27"/>
  <c r="AN46" i="27"/>
  <c r="AN47" i="27"/>
  <c r="AN48" i="27"/>
  <c r="AN49" i="27"/>
  <c r="AN50" i="27"/>
  <c r="AN51" i="27"/>
  <c r="AN52" i="27"/>
  <c r="AN53" i="27"/>
  <c r="AN54" i="27"/>
  <c r="AN55" i="27"/>
  <c r="AN56" i="27"/>
  <c r="AN57" i="27"/>
  <c r="AN58" i="27"/>
  <c r="AN59" i="27"/>
  <c r="AN60" i="27"/>
  <c r="AN61" i="27"/>
  <c r="AN62" i="27"/>
  <c r="AN63" i="27"/>
  <c r="AN64" i="27"/>
  <c r="AN65" i="27"/>
  <c r="AN66" i="27"/>
  <c r="AN67" i="27"/>
  <c r="AN68" i="27"/>
  <c r="AN69" i="27"/>
  <c r="AN70" i="27"/>
  <c r="AN71" i="27"/>
  <c r="AN72" i="27"/>
  <c r="AN73" i="27"/>
  <c r="AN74" i="27"/>
  <c r="AN75" i="27"/>
  <c r="AN76" i="27"/>
  <c r="AN77" i="27"/>
  <c r="AN78" i="27"/>
  <c r="AN79" i="27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AN156" i="27"/>
  <c r="AN157" i="27"/>
  <c r="AN158" i="27"/>
  <c r="AN159" i="27"/>
  <c r="AN160" i="27"/>
  <c r="AN161" i="27"/>
  <c r="AN162" i="27"/>
  <c r="AN163" i="27"/>
  <c r="AN164" i="27"/>
  <c r="AN165" i="27"/>
  <c r="AN166" i="27"/>
  <c r="AN167" i="27"/>
  <c r="AN168" i="27"/>
  <c r="AN169" i="27"/>
  <c r="AN170" i="27"/>
  <c r="AN171" i="27"/>
  <c r="AN172" i="27"/>
  <c r="AN173" i="27"/>
  <c r="AN174" i="27"/>
  <c r="AN175" i="27"/>
  <c r="AN176" i="27"/>
  <c r="AN177" i="27"/>
  <c r="AN178" i="27"/>
  <c r="AN179" i="27"/>
  <c r="AN180" i="27"/>
  <c r="AN181" i="27"/>
  <c r="AN182" i="27"/>
  <c r="AN183" i="27"/>
  <c r="AN184" i="27"/>
  <c r="AN185" i="27"/>
  <c r="AN186" i="27"/>
  <c r="AN187" i="27"/>
  <c r="AN188" i="27"/>
  <c r="AN189" i="27"/>
  <c r="AN190" i="27"/>
  <c r="AN191" i="27"/>
  <c r="AN192" i="27"/>
  <c r="AN193" i="27"/>
  <c r="AN194" i="27"/>
  <c r="AN195" i="27"/>
  <c r="AN196" i="27"/>
  <c r="AN197" i="27"/>
  <c r="AN2" i="27"/>
  <c r="AL3" i="27"/>
  <c r="AL4" i="27"/>
  <c r="AL5" i="27"/>
  <c r="AL6" i="27"/>
  <c r="AL7" i="27"/>
  <c r="AL8" i="27"/>
  <c r="AL9" i="27"/>
  <c r="AL10" i="27"/>
  <c r="AL11" i="27"/>
  <c r="AL12" i="27"/>
  <c r="AL13" i="27"/>
  <c r="AL14" i="27"/>
  <c r="AL15" i="27"/>
  <c r="AL16" i="27"/>
  <c r="AL17" i="27"/>
  <c r="AL18" i="27"/>
  <c r="AL19" i="27"/>
  <c r="AL20" i="27"/>
  <c r="AL21" i="27"/>
  <c r="AL22" i="27"/>
  <c r="AL23" i="27"/>
  <c r="AL24" i="27"/>
  <c r="AL25" i="27"/>
  <c r="AL26" i="27"/>
  <c r="AL27" i="27"/>
  <c r="AL28" i="27"/>
  <c r="AL29" i="27"/>
  <c r="AL30" i="27"/>
  <c r="AL31" i="27"/>
  <c r="AL32" i="27"/>
  <c r="AL33" i="27"/>
  <c r="AL34" i="27"/>
  <c r="AL35" i="27"/>
  <c r="AL36" i="27"/>
  <c r="AL37" i="27"/>
  <c r="AL38" i="27"/>
  <c r="AL39" i="27"/>
  <c r="AL40" i="27"/>
  <c r="AL41" i="27"/>
  <c r="AL42" i="27"/>
  <c r="AL43" i="27"/>
  <c r="AL44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L81" i="27"/>
  <c r="AL82" i="27"/>
  <c r="AL83" i="27"/>
  <c r="AL84" i="27"/>
  <c r="AL85" i="27"/>
  <c r="AL86" i="27"/>
  <c r="AL87" i="27"/>
  <c r="AL88" i="27"/>
  <c r="AL89" i="27"/>
  <c r="AL90" i="27"/>
  <c r="AL91" i="27"/>
  <c r="AL92" i="27"/>
  <c r="AL93" i="27"/>
  <c r="AL94" i="27"/>
  <c r="AL95" i="27"/>
  <c r="AL96" i="27"/>
  <c r="AL97" i="27"/>
  <c r="AL98" i="27"/>
  <c r="AL99" i="27"/>
  <c r="AL100" i="27"/>
  <c r="AL101" i="27"/>
  <c r="AL102" i="27"/>
  <c r="AL103" i="27"/>
  <c r="AL104" i="27"/>
  <c r="AL105" i="27"/>
  <c r="AL106" i="27"/>
  <c r="AL107" i="27"/>
  <c r="AL108" i="27"/>
  <c r="AL109" i="27"/>
  <c r="AL110" i="27"/>
  <c r="AL111" i="27"/>
  <c r="AL112" i="27"/>
  <c r="AL113" i="27"/>
  <c r="AL114" i="27"/>
  <c r="AL115" i="27"/>
  <c r="AL116" i="27"/>
  <c r="AL117" i="27"/>
  <c r="AL118" i="27"/>
  <c r="AL119" i="27"/>
  <c r="AL120" i="27"/>
  <c r="AL121" i="27"/>
  <c r="AL122" i="27"/>
  <c r="AL123" i="27"/>
  <c r="AL124" i="27"/>
  <c r="AL125" i="27"/>
  <c r="AL126" i="27"/>
  <c r="AL127" i="27"/>
  <c r="AL128" i="27"/>
  <c r="AL129" i="27"/>
  <c r="AL130" i="27"/>
  <c r="AL131" i="27"/>
  <c r="AL132" i="27"/>
  <c r="AL133" i="27"/>
  <c r="AL134" i="27"/>
  <c r="AL135" i="27"/>
  <c r="AL136" i="27"/>
  <c r="AL137" i="27"/>
  <c r="AL138" i="27"/>
  <c r="AL139" i="27"/>
  <c r="AL140" i="27"/>
  <c r="AL141" i="27"/>
  <c r="AL142" i="27"/>
  <c r="AL143" i="27"/>
  <c r="AL144" i="27"/>
  <c r="AL145" i="27"/>
  <c r="AL146" i="27"/>
  <c r="AL147" i="27"/>
  <c r="AL148" i="27"/>
  <c r="AL149" i="27"/>
  <c r="AL150" i="27"/>
  <c r="AL151" i="27"/>
  <c r="AL152" i="27"/>
  <c r="AL153" i="27"/>
  <c r="AL154" i="27"/>
  <c r="AL155" i="27"/>
  <c r="AL156" i="27"/>
  <c r="AL157" i="27"/>
  <c r="AL158" i="27"/>
  <c r="AL159" i="27"/>
  <c r="AL160" i="27"/>
  <c r="AL161" i="27"/>
  <c r="AL162" i="27"/>
  <c r="AL163" i="27"/>
  <c r="AL164" i="27"/>
  <c r="AL165" i="27"/>
  <c r="AL166" i="27"/>
  <c r="AL167" i="27"/>
  <c r="AL168" i="27"/>
  <c r="AL169" i="27"/>
  <c r="AL170" i="27"/>
  <c r="AL171" i="27"/>
  <c r="AL172" i="27"/>
  <c r="AL173" i="27"/>
  <c r="AL174" i="27"/>
  <c r="AL175" i="27"/>
  <c r="AL176" i="27"/>
  <c r="AL177" i="27"/>
  <c r="AL178" i="27"/>
  <c r="AL179" i="27"/>
  <c r="AL180" i="27"/>
  <c r="AL181" i="27"/>
  <c r="AL182" i="27"/>
  <c r="AL183" i="27"/>
  <c r="AL184" i="27"/>
  <c r="AL185" i="27"/>
  <c r="AL186" i="27"/>
  <c r="AL187" i="27"/>
  <c r="AL188" i="27"/>
  <c r="AL189" i="27"/>
  <c r="AL190" i="27"/>
  <c r="AL191" i="27"/>
  <c r="AL192" i="27"/>
  <c r="AL193" i="27"/>
  <c r="AL194" i="27"/>
  <c r="AL195" i="27"/>
  <c r="AL196" i="27"/>
  <c r="AL197" i="27"/>
  <c r="AL2" i="27"/>
  <c r="AJ2" i="27"/>
  <c r="AX3" i="27"/>
  <c r="AY3" i="27"/>
  <c r="AZ3" i="27"/>
  <c r="BA3" i="27"/>
  <c r="BB3" i="27"/>
  <c r="BC3" i="27"/>
  <c r="AX8" i="27"/>
  <c r="AY8" i="27"/>
  <c r="AZ8" i="27"/>
  <c r="BA8" i="27"/>
  <c r="BB8" i="27"/>
  <c r="BC8" i="27"/>
  <c r="AX9" i="27"/>
  <c r="AY9" i="27"/>
  <c r="AZ9" i="27"/>
  <c r="BA9" i="27"/>
  <c r="BB9" i="27"/>
  <c r="BC9" i="27"/>
  <c r="AX17" i="27"/>
  <c r="AY17" i="27"/>
  <c r="AZ17" i="27"/>
  <c r="BA17" i="27"/>
  <c r="BB17" i="27"/>
  <c r="BC17" i="27"/>
  <c r="AX19" i="27"/>
  <c r="AY19" i="27"/>
  <c r="AZ19" i="27"/>
  <c r="BA19" i="27"/>
  <c r="BB19" i="27"/>
  <c r="BC19" i="27"/>
  <c r="AX20" i="27"/>
  <c r="AY20" i="27"/>
  <c r="AZ20" i="27"/>
  <c r="BA20" i="27"/>
  <c r="BB20" i="27"/>
  <c r="BC20" i="27"/>
  <c r="AX21" i="27"/>
  <c r="AY21" i="27"/>
  <c r="AZ21" i="27"/>
  <c r="BA21" i="27"/>
  <c r="BB21" i="27"/>
  <c r="BC21" i="27"/>
  <c r="AX24" i="27"/>
  <c r="AY24" i="27"/>
  <c r="AZ24" i="27"/>
  <c r="BA24" i="27"/>
  <c r="BB24" i="27"/>
  <c r="BC24" i="27"/>
  <c r="AX25" i="27"/>
  <c r="AY25" i="27"/>
  <c r="AZ25" i="27"/>
  <c r="BA25" i="27"/>
  <c r="BB25" i="27"/>
  <c r="BC25" i="27"/>
  <c r="AX26" i="27"/>
  <c r="AY26" i="27"/>
  <c r="AZ26" i="27"/>
  <c r="BA26" i="27"/>
  <c r="BB26" i="27"/>
  <c r="BC26" i="27"/>
  <c r="AX27" i="27"/>
  <c r="AY27" i="27"/>
  <c r="AZ27" i="27"/>
  <c r="BA27" i="27"/>
  <c r="BB27" i="27"/>
  <c r="BC27" i="27"/>
  <c r="AX29" i="27"/>
  <c r="AY29" i="27"/>
  <c r="AZ29" i="27"/>
  <c r="BA29" i="27"/>
  <c r="BB29" i="27"/>
  <c r="BC29" i="27"/>
  <c r="AX30" i="27"/>
  <c r="AY30" i="27"/>
  <c r="AZ30" i="27"/>
  <c r="BA30" i="27"/>
  <c r="BB30" i="27"/>
  <c r="BC30" i="27"/>
  <c r="AX31" i="27"/>
  <c r="AY31" i="27"/>
  <c r="AZ31" i="27"/>
  <c r="BA31" i="27"/>
  <c r="BB31" i="27"/>
  <c r="BC31" i="27"/>
  <c r="AX32" i="27"/>
  <c r="AY32" i="27"/>
  <c r="AZ32" i="27"/>
  <c r="BA32" i="27"/>
  <c r="BB32" i="27"/>
  <c r="BC32" i="27"/>
  <c r="AX33" i="27"/>
  <c r="AY33" i="27"/>
  <c r="AZ33" i="27"/>
  <c r="BA33" i="27"/>
  <c r="BB33" i="27"/>
  <c r="BC33" i="27"/>
  <c r="AX34" i="27"/>
  <c r="AY34" i="27"/>
  <c r="AZ34" i="27"/>
  <c r="BA34" i="27"/>
  <c r="BB34" i="27"/>
  <c r="BC34" i="27"/>
  <c r="AX37" i="27"/>
  <c r="AY37" i="27"/>
  <c r="AZ37" i="27"/>
  <c r="BA37" i="27"/>
  <c r="BB37" i="27"/>
  <c r="BC37" i="27"/>
  <c r="AX38" i="27"/>
  <c r="AY38" i="27"/>
  <c r="AZ38" i="27"/>
  <c r="BA38" i="27"/>
  <c r="BB38" i="27"/>
  <c r="BC38" i="27"/>
  <c r="AX39" i="27"/>
  <c r="AY39" i="27"/>
  <c r="AZ39" i="27"/>
  <c r="BA39" i="27"/>
  <c r="BB39" i="27"/>
  <c r="BC39" i="27"/>
  <c r="AX40" i="27"/>
  <c r="AY40" i="27"/>
  <c r="AZ40" i="27"/>
  <c r="BA40" i="27"/>
  <c r="BB40" i="27"/>
  <c r="BC40" i="27"/>
  <c r="AX41" i="27"/>
  <c r="AY41" i="27"/>
  <c r="AZ41" i="27"/>
  <c r="BA41" i="27"/>
  <c r="BB41" i="27"/>
  <c r="BC41" i="27"/>
  <c r="AX42" i="27"/>
  <c r="AY42" i="27"/>
  <c r="AZ42" i="27"/>
  <c r="BA42" i="27"/>
  <c r="BB42" i="27"/>
  <c r="BC42" i="27"/>
  <c r="AX43" i="27"/>
  <c r="AY43" i="27"/>
  <c r="AZ43" i="27"/>
  <c r="BA43" i="27"/>
  <c r="BB43" i="27"/>
  <c r="BC43" i="27"/>
  <c r="AX44" i="27"/>
  <c r="AY44" i="27"/>
  <c r="AZ44" i="27"/>
  <c r="BA44" i="27"/>
  <c r="BB44" i="27"/>
  <c r="BC44" i="27"/>
  <c r="AX52" i="27"/>
  <c r="AY52" i="27"/>
  <c r="AZ52" i="27"/>
  <c r="BA52" i="27"/>
  <c r="BB52" i="27"/>
  <c r="BC52" i="27"/>
  <c r="AX53" i="27"/>
  <c r="AY53" i="27"/>
  <c r="AZ53" i="27"/>
  <c r="BA53" i="27"/>
  <c r="BB53" i="27"/>
  <c r="BC53" i="27"/>
  <c r="AX103" i="27"/>
  <c r="AY103" i="27"/>
  <c r="AZ103" i="27"/>
  <c r="BA103" i="27"/>
  <c r="BB103" i="27"/>
  <c r="BC103" i="27"/>
  <c r="AX104" i="27"/>
  <c r="AY104" i="27"/>
  <c r="AZ104" i="27"/>
  <c r="BA104" i="27"/>
  <c r="BB104" i="27"/>
  <c r="BC104" i="27"/>
  <c r="AX105" i="27"/>
  <c r="AY105" i="27"/>
  <c r="AZ105" i="27"/>
  <c r="BA105" i="27"/>
  <c r="BB105" i="27"/>
  <c r="BC105" i="27"/>
  <c r="AX106" i="27"/>
  <c r="AY106" i="27"/>
  <c r="AZ106" i="27"/>
  <c r="BA106" i="27"/>
  <c r="BB106" i="27"/>
  <c r="BC106" i="27"/>
  <c r="AX112" i="27"/>
  <c r="AY112" i="27"/>
  <c r="AZ112" i="27"/>
  <c r="BA112" i="27"/>
  <c r="BB112" i="27"/>
  <c r="BC112" i="27"/>
  <c r="AX113" i="27"/>
  <c r="AY113" i="27"/>
  <c r="AZ113" i="27"/>
  <c r="BA113" i="27"/>
  <c r="BB113" i="27"/>
  <c r="BC113" i="27"/>
  <c r="AX118" i="27"/>
  <c r="AY118" i="27"/>
  <c r="AZ118" i="27"/>
  <c r="BA118" i="27"/>
  <c r="BB118" i="27"/>
  <c r="BC118" i="27"/>
  <c r="AX124" i="27"/>
  <c r="AY124" i="27"/>
  <c r="AZ124" i="27"/>
  <c r="BA124" i="27"/>
  <c r="BB124" i="27"/>
  <c r="BC124" i="27"/>
  <c r="AX154" i="27"/>
  <c r="AY154" i="27"/>
  <c r="AZ154" i="27"/>
  <c r="BA154" i="27"/>
  <c r="BB154" i="27"/>
  <c r="BC154" i="27"/>
  <c r="AX155" i="27"/>
  <c r="AY155" i="27"/>
  <c r="AZ155" i="27"/>
  <c r="BA155" i="27"/>
  <c r="BB155" i="27"/>
  <c r="BC155" i="27"/>
  <c r="AX165" i="27"/>
  <c r="AY165" i="27"/>
  <c r="AZ165" i="27"/>
  <c r="BA165" i="27"/>
  <c r="BB165" i="27"/>
  <c r="BC165" i="27"/>
  <c r="AX170" i="27"/>
  <c r="AY170" i="27"/>
  <c r="AZ170" i="27"/>
  <c r="BA170" i="27"/>
  <c r="BB170" i="27"/>
  <c r="BC170" i="27"/>
  <c r="AX171" i="27"/>
  <c r="AY171" i="27"/>
  <c r="AZ171" i="27"/>
  <c r="BA171" i="27"/>
  <c r="BB171" i="27"/>
  <c r="BC171" i="27"/>
  <c r="AX172" i="27"/>
  <c r="AY172" i="27"/>
  <c r="AZ172" i="27"/>
  <c r="BA172" i="27"/>
  <c r="BB172" i="27"/>
  <c r="BC172" i="27"/>
  <c r="AX173" i="27"/>
  <c r="AY173" i="27"/>
  <c r="AZ173" i="27"/>
  <c r="BA173" i="27"/>
  <c r="BB173" i="27"/>
  <c r="BC173" i="27"/>
  <c r="AX174" i="27"/>
  <c r="AY174" i="27"/>
  <c r="AZ174" i="27"/>
  <c r="BA174" i="27"/>
  <c r="BB174" i="27"/>
  <c r="BC174" i="27"/>
  <c r="AX175" i="27"/>
  <c r="AY175" i="27"/>
  <c r="AZ175" i="27"/>
  <c r="BA175" i="27"/>
  <c r="BB175" i="27"/>
  <c r="BC175" i="27"/>
  <c r="AX197" i="27"/>
  <c r="AY197" i="27"/>
  <c r="AZ197" i="27"/>
  <c r="BA197" i="27"/>
  <c r="BB197" i="27"/>
  <c r="BC197" i="27"/>
  <c r="BC2" i="27"/>
  <c r="BB2" i="27"/>
  <c r="BA2" i="27"/>
  <c r="AZ2" i="27"/>
  <c r="AY2" i="27"/>
  <c r="AX2" i="27"/>
  <c r="B197" i="27"/>
  <c r="B192" i="27"/>
  <c r="B193" i="27" s="1"/>
  <c r="B194" i="27" s="1"/>
  <c r="B195" i="27" s="1"/>
  <c r="B196" i="27" s="1"/>
  <c r="B188" i="27"/>
  <c r="B189" i="27" s="1"/>
  <c r="B190" i="27" s="1"/>
  <c r="B191" i="27" s="1"/>
  <c r="B176" i="27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75" i="27"/>
  <c r="B173" i="27"/>
  <c r="B174" i="27" s="1"/>
  <c r="B171" i="27"/>
  <c r="B172" i="27" s="1"/>
  <c r="B170" i="27"/>
  <c r="B166" i="27"/>
  <c r="B167" i="27" s="1"/>
  <c r="B168" i="27" s="1"/>
  <c r="B169" i="27" s="1"/>
  <c r="B165" i="27"/>
  <c r="B162" i="27"/>
  <c r="B163" i="27" s="1"/>
  <c r="B164" i="27" s="1"/>
  <c r="B156" i="27"/>
  <c r="B157" i="27" s="1"/>
  <c r="B158" i="27" s="1"/>
  <c r="B159" i="27" s="1"/>
  <c r="B160" i="27" s="1"/>
  <c r="B161" i="27" s="1"/>
  <c r="B154" i="27"/>
  <c r="B155" i="27" s="1"/>
  <c r="B151" i="27"/>
  <c r="B152" i="27" s="1"/>
  <c r="B153" i="27" s="1"/>
  <c r="B131" i="27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30" i="27"/>
  <c r="B127" i="27"/>
  <c r="B128" i="27" s="1"/>
  <c r="B129" i="27" s="1"/>
  <c r="B125" i="27"/>
  <c r="B126" i="27" s="1"/>
  <c r="B122" i="27"/>
  <c r="B123" i="27" s="1"/>
  <c r="B124" i="27" s="1"/>
  <c r="B120" i="27"/>
  <c r="B121" i="27" s="1"/>
  <c r="B114" i="27"/>
  <c r="B115" i="27" s="1"/>
  <c r="B116" i="27" s="1"/>
  <c r="B117" i="27" s="1"/>
  <c r="B118" i="27" s="1"/>
  <c r="B119" i="27" s="1"/>
  <c r="B109" i="27"/>
  <c r="B110" i="27" s="1"/>
  <c r="B111" i="27" s="1"/>
  <c r="B112" i="27" s="1"/>
  <c r="B113" i="27" s="1"/>
  <c r="B106" i="27"/>
  <c r="B107" i="27" s="1"/>
  <c r="B108" i="27" s="1"/>
  <c r="B103" i="27"/>
  <c r="B104" i="27" s="1"/>
  <c r="B105" i="27" s="1"/>
  <c r="B102" i="27"/>
  <c r="B100" i="27"/>
  <c r="B101" i="27" s="1"/>
  <c r="B99" i="27"/>
  <c r="B98" i="27"/>
  <c r="B97" i="27"/>
  <c r="B95" i="27"/>
  <c r="B96" i="27" s="1"/>
  <c r="B94" i="27"/>
  <c r="B92" i="27"/>
  <c r="B93" i="27" s="1"/>
  <c r="B89" i="27"/>
  <c r="B90" i="27" s="1"/>
  <c r="B91" i="27" s="1"/>
  <c r="B88" i="27"/>
  <c r="B86" i="27"/>
  <c r="B87" i="27" s="1"/>
  <c r="B82" i="27"/>
  <c r="B83" i="27" s="1"/>
  <c r="B84" i="27" s="1"/>
  <c r="B85" i="27" s="1"/>
  <c r="B81" i="27"/>
  <c r="B75" i="27"/>
  <c r="B76" i="27" s="1"/>
  <c r="B77" i="27" s="1"/>
  <c r="B78" i="27" s="1"/>
  <c r="B79" i="27" s="1"/>
  <c r="B80" i="27" s="1"/>
  <c r="B68" i="27"/>
  <c r="B69" i="27" s="1"/>
  <c r="B70" i="27" s="1"/>
  <c r="B71" i="27" s="1"/>
  <c r="B72" i="27" s="1"/>
  <c r="B73" i="27" s="1"/>
  <c r="B74" i="27" s="1"/>
  <c r="B62" i="27"/>
  <c r="B63" i="27" s="1"/>
  <c r="B64" i="27" s="1"/>
  <c r="B65" i="27" s="1"/>
  <c r="B66" i="27" s="1"/>
  <c r="B67" i="27" s="1"/>
  <c r="B60" i="27"/>
  <c r="B61" i="27" s="1"/>
  <c r="B57" i="27"/>
  <c r="B58" i="27" s="1"/>
  <c r="B59" i="27" s="1"/>
  <c r="B53" i="27"/>
  <c r="B54" i="27" s="1"/>
  <c r="B55" i="27" s="1"/>
  <c r="B56" i="27" s="1"/>
  <c r="B52" i="27"/>
  <c r="B51" i="27"/>
  <c r="B45" i="27"/>
  <c r="B46" i="27" s="1"/>
  <c r="B47" i="27" s="1"/>
  <c r="B48" i="27" s="1"/>
  <c r="B49" i="27" s="1"/>
  <c r="B50" i="27" s="1"/>
  <c r="B37" i="27"/>
  <c r="B38" i="27" s="1"/>
  <c r="B39" i="27" s="1"/>
  <c r="B40" i="27" s="1"/>
  <c r="B41" i="27" s="1"/>
  <c r="B42" i="27" s="1"/>
  <c r="B43" i="27" s="1"/>
  <c r="B44" i="27" s="1"/>
  <c r="B29" i="27"/>
  <c r="B30" i="27" s="1"/>
  <c r="B31" i="27" s="1"/>
  <c r="B32" i="27" s="1"/>
  <c r="B33" i="27" s="1"/>
  <c r="B34" i="27" s="1"/>
  <c r="B35" i="27" s="1"/>
  <c r="B36" i="27" s="1"/>
  <c r="B28" i="27"/>
  <c r="B20" i="27"/>
  <c r="B21" i="27" s="1"/>
  <c r="B22" i="27" s="1"/>
  <c r="B23" i="27" s="1"/>
  <c r="B24" i="27" s="1"/>
  <c r="B25" i="27" s="1"/>
  <c r="B26" i="27" s="1"/>
  <c r="B27" i="27" s="1"/>
  <c r="B18" i="27"/>
  <c r="B19" i="27" s="1"/>
  <c r="B16" i="27"/>
  <c r="B17" i="27" s="1"/>
  <c r="B15" i="27"/>
  <c r="B13" i="27"/>
  <c r="B14" i="27" s="1"/>
  <c r="B10" i="27"/>
  <c r="B11" i="27" s="1"/>
  <c r="B12" i="27" s="1"/>
  <c r="B8" i="27"/>
  <c r="B9" i="27" s="1"/>
  <c r="B5" i="27"/>
  <c r="B6" i="27" s="1"/>
  <c r="B7" i="27" s="1"/>
  <c r="B4" i="27"/>
  <c r="B3" i="27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H24" i="27"/>
  <c r="AH25" i="27"/>
  <c r="AH53" i="27"/>
  <c r="AH103" i="27"/>
  <c r="AH105" i="27"/>
  <c r="AH112" i="27"/>
  <c r="AH171" i="27"/>
  <c r="AH172" i="27"/>
  <c r="AG24" i="27"/>
  <c r="AG25" i="27"/>
  <c r="AG53" i="27"/>
  <c r="AG103" i="27"/>
  <c r="AG105" i="27"/>
  <c r="AG112" i="27"/>
  <c r="AG171" i="27"/>
  <c r="AG172" i="27"/>
  <c r="AF197" i="27"/>
  <c r="AC197" i="27"/>
  <c r="AD197" i="27" s="1"/>
  <c r="AH197" i="27" s="1"/>
  <c r="T197" i="27"/>
  <c r="H197" i="27"/>
  <c r="AF196" i="27"/>
  <c r="AC196" i="27"/>
  <c r="AD196" i="27" s="1"/>
  <c r="AH196" i="27" s="1"/>
  <c r="H196" i="27"/>
  <c r="AF195" i="27"/>
  <c r="AC195" i="27"/>
  <c r="AD195" i="27" s="1"/>
  <c r="AH195" i="27" s="1"/>
  <c r="H195" i="27"/>
  <c r="AF194" i="27"/>
  <c r="AC194" i="27"/>
  <c r="AD194" i="27" s="1"/>
  <c r="AG194" i="27" s="1"/>
  <c r="H194" i="27"/>
  <c r="AF193" i="27"/>
  <c r="AC193" i="27"/>
  <c r="AD193" i="27" s="1"/>
  <c r="AG193" i="27" s="1"/>
  <c r="H193" i="27"/>
  <c r="AF192" i="27"/>
  <c r="AC192" i="27"/>
  <c r="AD192" i="27" s="1"/>
  <c r="H192" i="27"/>
  <c r="AF191" i="27"/>
  <c r="AD191" i="27"/>
  <c r="T191" i="27"/>
  <c r="H191" i="27"/>
  <c r="AF190" i="27"/>
  <c r="AD190" i="27"/>
  <c r="T190" i="27"/>
  <c r="H190" i="27"/>
  <c r="AF189" i="27"/>
  <c r="AD189" i="27"/>
  <c r="T189" i="27"/>
  <c r="H189" i="27"/>
  <c r="AF188" i="27"/>
  <c r="AD188" i="27"/>
  <c r="T188" i="27"/>
  <c r="H188" i="27"/>
  <c r="AF187" i="27"/>
  <c r="AD187" i="27"/>
  <c r="T187" i="27"/>
  <c r="H187" i="27"/>
  <c r="AF186" i="27"/>
  <c r="AD186" i="27"/>
  <c r="T186" i="27"/>
  <c r="H186" i="27"/>
  <c r="AF185" i="27"/>
  <c r="AD185" i="27"/>
  <c r="T185" i="27"/>
  <c r="H185" i="27"/>
  <c r="AF184" i="27"/>
  <c r="AD184" i="27"/>
  <c r="T184" i="27"/>
  <c r="H184" i="27"/>
  <c r="AF183" i="27"/>
  <c r="AD183" i="27"/>
  <c r="T183" i="27"/>
  <c r="H183" i="27"/>
  <c r="AF182" i="27"/>
  <c r="AD182" i="27"/>
  <c r="T182" i="27"/>
  <c r="H182" i="27"/>
  <c r="AF181" i="27"/>
  <c r="AD181" i="27"/>
  <c r="T181" i="27"/>
  <c r="H181" i="27"/>
  <c r="AF180" i="27"/>
  <c r="AD180" i="27"/>
  <c r="T180" i="27"/>
  <c r="H180" i="27"/>
  <c r="AF179" i="27"/>
  <c r="AD179" i="27"/>
  <c r="T179" i="27"/>
  <c r="H179" i="27"/>
  <c r="AF178" i="27"/>
  <c r="AD178" i="27"/>
  <c r="T178" i="27"/>
  <c r="H178" i="27"/>
  <c r="AF177" i="27"/>
  <c r="AD177" i="27"/>
  <c r="T177" i="27"/>
  <c r="H177" i="27"/>
  <c r="AF176" i="27"/>
  <c r="AD176" i="27"/>
  <c r="T176" i="27"/>
  <c r="H176" i="27"/>
  <c r="AF175" i="27"/>
  <c r="AC175" i="27"/>
  <c r="AD175" i="27" s="1"/>
  <c r="AH175" i="27" s="1"/>
  <c r="T175" i="27"/>
  <c r="H175" i="27"/>
  <c r="AF174" i="27"/>
  <c r="AC174" i="27"/>
  <c r="AD174" i="27" s="1"/>
  <c r="AH174" i="27" s="1"/>
  <c r="T174" i="27"/>
  <c r="H174" i="27"/>
  <c r="AF173" i="27"/>
  <c r="AC173" i="27"/>
  <c r="AD173" i="27" s="1"/>
  <c r="AH173" i="27" s="1"/>
  <c r="T173" i="27"/>
  <c r="H173" i="27"/>
  <c r="AF172" i="27"/>
  <c r="AI172" i="27" s="1"/>
  <c r="T172" i="27"/>
  <c r="H172" i="27"/>
  <c r="AF171" i="27"/>
  <c r="T171" i="27"/>
  <c r="H171" i="27"/>
  <c r="AF170" i="27"/>
  <c r="AC170" i="27"/>
  <c r="AD170" i="27" s="1"/>
  <c r="AG170" i="27" s="1"/>
  <c r="T170" i="27"/>
  <c r="H170" i="27"/>
  <c r="AF169" i="27"/>
  <c r="AD169" i="27"/>
  <c r="T169" i="27"/>
  <c r="H169" i="27"/>
  <c r="AF168" i="27"/>
  <c r="AD168" i="27"/>
  <c r="T168" i="27"/>
  <c r="H168" i="27"/>
  <c r="AF167" i="27"/>
  <c r="AD167" i="27"/>
  <c r="T167" i="27"/>
  <c r="H167" i="27"/>
  <c r="AF166" i="27"/>
  <c r="AD166" i="27"/>
  <c r="T166" i="27"/>
  <c r="H166" i="27"/>
  <c r="AF165" i="27"/>
  <c r="AI165" i="27" s="1"/>
  <c r="T165" i="27"/>
  <c r="H165" i="27"/>
  <c r="AF164" i="27"/>
  <c r="AD164" i="27"/>
  <c r="T164" i="27"/>
  <c r="H164" i="27"/>
  <c r="AF163" i="27"/>
  <c r="AD163" i="27"/>
  <c r="T163" i="27"/>
  <c r="H163" i="27"/>
  <c r="AF162" i="27"/>
  <c r="AD162" i="27"/>
  <c r="T162" i="27"/>
  <c r="H162" i="27"/>
  <c r="AF161" i="27"/>
  <c r="AD161" i="27"/>
  <c r="T161" i="27"/>
  <c r="H161" i="27"/>
  <c r="AF160" i="27"/>
  <c r="AD160" i="27"/>
  <c r="T160" i="27"/>
  <c r="H160" i="27"/>
  <c r="AF159" i="27"/>
  <c r="AD159" i="27"/>
  <c r="T159" i="27"/>
  <c r="H159" i="27"/>
  <c r="AF158" i="27"/>
  <c r="AD158" i="27"/>
  <c r="AI158" i="27" s="1"/>
  <c r="T158" i="27"/>
  <c r="H158" i="27"/>
  <c r="AF157" i="27"/>
  <c r="AD157" i="27"/>
  <c r="T157" i="27"/>
  <c r="H157" i="27"/>
  <c r="AF156" i="27"/>
  <c r="AD156" i="27"/>
  <c r="T156" i="27"/>
  <c r="H156" i="27"/>
  <c r="AF155" i="27"/>
  <c r="AD155" i="27"/>
  <c r="AG155" i="27" s="1"/>
  <c r="H155" i="27"/>
  <c r="AF154" i="27"/>
  <c r="AC154" i="27"/>
  <c r="AD154" i="27" s="1"/>
  <c r="AG154" i="27" s="1"/>
  <c r="H154" i="27"/>
  <c r="AF153" i="27"/>
  <c r="AD153" i="27"/>
  <c r="T153" i="27"/>
  <c r="H153" i="27"/>
  <c r="AF152" i="27"/>
  <c r="AG152" i="27" s="1"/>
  <c r="T152" i="27"/>
  <c r="H152" i="27"/>
  <c r="AF151" i="27"/>
  <c r="AH151" i="27" s="1"/>
  <c r="T151" i="27"/>
  <c r="H151" i="27"/>
  <c r="AF150" i="27"/>
  <c r="AH150" i="27" s="1"/>
  <c r="T150" i="27"/>
  <c r="H150" i="27"/>
  <c r="AF149" i="27"/>
  <c r="AI149" i="27" s="1"/>
  <c r="T149" i="27"/>
  <c r="H149" i="27"/>
  <c r="AF148" i="27"/>
  <c r="AI148" i="27" s="1"/>
  <c r="T148" i="27"/>
  <c r="H148" i="27"/>
  <c r="AF147" i="27"/>
  <c r="AI147" i="27" s="1"/>
  <c r="T147" i="27"/>
  <c r="H147" i="27"/>
  <c r="AF146" i="27"/>
  <c r="AI146" i="27" s="1"/>
  <c r="T146" i="27"/>
  <c r="H146" i="27"/>
  <c r="AF145" i="27"/>
  <c r="AG145" i="27" s="1"/>
  <c r="T145" i="27"/>
  <c r="H145" i="27"/>
  <c r="AF144" i="27"/>
  <c r="AG144" i="27" s="1"/>
  <c r="T144" i="27"/>
  <c r="H144" i="27"/>
  <c r="AF143" i="27"/>
  <c r="AI143" i="27" s="1"/>
  <c r="T143" i="27"/>
  <c r="H143" i="27"/>
  <c r="AF142" i="27"/>
  <c r="AI142" i="27" s="1"/>
  <c r="T142" i="27"/>
  <c r="H142" i="27"/>
  <c r="AF141" i="27"/>
  <c r="AI141" i="27" s="1"/>
  <c r="T141" i="27"/>
  <c r="H141" i="27"/>
  <c r="AF140" i="27"/>
  <c r="AI140" i="27" s="1"/>
  <c r="T140" i="27"/>
  <c r="H140" i="27"/>
  <c r="AF139" i="27"/>
  <c r="AI139" i="27" s="1"/>
  <c r="T139" i="27"/>
  <c r="H139" i="27"/>
  <c r="AF138" i="27"/>
  <c r="AI138" i="27" s="1"/>
  <c r="T138" i="27"/>
  <c r="H138" i="27"/>
  <c r="AF137" i="27"/>
  <c r="AH137" i="27" s="1"/>
  <c r="T137" i="27"/>
  <c r="H137" i="27"/>
  <c r="AF136" i="27"/>
  <c r="AI136" i="27" s="1"/>
  <c r="T136" i="27"/>
  <c r="H136" i="27"/>
  <c r="AF135" i="27"/>
  <c r="AH135" i="27" s="1"/>
  <c r="T135" i="27"/>
  <c r="H135" i="27"/>
  <c r="AF134" i="27"/>
  <c r="AH134" i="27" s="1"/>
  <c r="T134" i="27"/>
  <c r="H134" i="27"/>
  <c r="AF133" i="27"/>
  <c r="AH133" i="27" s="1"/>
  <c r="T133" i="27"/>
  <c r="H133" i="27"/>
  <c r="AF132" i="27"/>
  <c r="AI132" i="27" s="1"/>
  <c r="T132" i="27"/>
  <c r="H132" i="27"/>
  <c r="AF131" i="27"/>
  <c r="AH131" i="27" s="1"/>
  <c r="T131" i="27"/>
  <c r="H131" i="27"/>
  <c r="AF130" i="27"/>
  <c r="AI130" i="27" s="1"/>
  <c r="T130" i="27"/>
  <c r="H130" i="27"/>
  <c r="AF129" i="27"/>
  <c r="AI129" i="27" s="1"/>
  <c r="T129" i="27"/>
  <c r="H129" i="27"/>
  <c r="AF128" i="27"/>
  <c r="AG128" i="27" s="1"/>
  <c r="T128" i="27"/>
  <c r="H128" i="27"/>
  <c r="AF127" i="27"/>
  <c r="AI127" i="27" s="1"/>
  <c r="T127" i="27"/>
  <c r="H127" i="27"/>
  <c r="AF126" i="27"/>
  <c r="AD126" i="27"/>
  <c r="T126" i="27"/>
  <c r="H126" i="27"/>
  <c r="AF125" i="27"/>
  <c r="AD125" i="27"/>
  <c r="T125" i="27"/>
  <c r="H125" i="27"/>
  <c r="AF124" i="27"/>
  <c r="AD124" i="27"/>
  <c r="AH124" i="27" s="1"/>
  <c r="T124" i="27"/>
  <c r="H124" i="27"/>
  <c r="AF123" i="27"/>
  <c r="AH123" i="27" s="1"/>
  <c r="T123" i="27"/>
  <c r="H123" i="27"/>
  <c r="AF122" i="27"/>
  <c r="AH122" i="27" s="1"/>
  <c r="T122" i="27"/>
  <c r="H122" i="27"/>
  <c r="AF121" i="27"/>
  <c r="AH121" i="27" s="1"/>
  <c r="T121" i="27"/>
  <c r="H121" i="27"/>
  <c r="AF120" i="27"/>
  <c r="AG120" i="27" s="1"/>
  <c r="T120" i="27"/>
  <c r="H120" i="27"/>
  <c r="AF119" i="27"/>
  <c r="AI119" i="27" s="1"/>
  <c r="T119" i="27"/>
  <c r="H119" i="27"/>
  <c r="AF118" i="27"/>
  <c r="AH118" i="27" s="1"/>
  <c r="T118" i="27"/>
  <c r="H118" i="27"/>
  <c r="AF117" i="27"/>
  <c r="AG117" i="27" s="1"/>
  <c r="T117" i="27"/>
  <c r="H117" i="27"/>
  <c r="AF116" i="27"/>
  <c r="AI116" i="27" s="1"/>
  <c r="T116" i="27"/>
  <c r="H116" i="27"/>
  <c r="AF115" i="27"/>
  <c r="AG115" i="27" s="1"/>
  <c r="T115" i="27"/>
  <c r="H115" i="27"/>
  <c r="AF114" i="27"/>
  <c r="AI114" i="27" s="1"/>
  <c r="T114" i="27"/>
  <c r="H114" i="27"/>
  <c r="AF113" i="27"/>
  <c r="AD113" i="27"/>
  <c r="T113" i="27"/>
  <c r="H113" i="27"/>
  <c r="AF112" i="27"/>
  <c r="AI112" i="27" s="1"/>
  <c r="T112" i="27"/>
  <c r="H112" i="27"/>
  <c r="AF111" i="27"/>
  <c r="AI111" i="27" s="1"/>
  <c r="T111" i="27"/>
  <c r="H111" i="27"/>
  <c r="AF110" i="27"/>
  <c r="AI110" i="27" s="1"/>
  <c r="T110" i="27"/>
  <c r="H110" i="27"/>
  <c r="AF109" i="27"/>
  <c r="AI109" i="27" s="1"/>
  <c r="T109" i="27"/>
  <c r="H109" i="27"/>
  <c r="AF108" i="27"/>
  <c r="AG108" i="27" s="1"/>
  <c r="T108" i="27"/>
  <c r="H108" i="27"/>
  <c r="AF107" i="27"/>
  <c r="AC107" i="27"/>
  <c r="AD107" i="27" s="1"/>
  <c r="T107" i="27"/>
  <c r="H107" i="27"/>
  <c r="AF106" i="27"/>
  <c r="AD106" i="27"/>
  <c r="T106" i="27"/>
  <c r="H106" i="27"/>
  <c r="AF105" i="27"/>
  <c r="AI105" i="27" s="1"/>
  <c r="AC105" i="27"/>
  <c r="T105" i="27"/>
  <c r="H105" i="27"/>
  <c r="AF104" i="27"/>
  <c r="AG104" i="27" s="1"/>
  <c r="T104" i="27"/>
  <c r="H104" i="27"/>
  <c r="AF103" i="27"/>
  <c r="AI103" i="27" s="1"/>
  <c r="AC103" i="27"/>
  <c r="T103" i="27"/>
  <c r="H103" i="27"/>
  <c r="AF102" i="27"/>
  <c r="AD102" i="27"/>
  <c r="T102" i="27"/>
  <c r="H102" i="27"/>
  <c r="AF101" i="27"/>
  <c r="AI101" i="27" s="1"/>
  <c r="T101" i="27"/>
  <c r="H101" i="27"/>
  <c r="AF100" i="27"/>
  <c r="AI100" i="27" s="1"/>
  <c r="T100" i="27"/>
  <c r="H100" i="27"/>
  <c r="AF99" i="27"/>
  <c r="AG99" i="27" s="1"/>
  <c r="T99" i="27"/>
  <c r="H99" i="27"/>
  <c r="AF98" i="27"/>
  <c r="AH98" i="27" s="1"/>
  <c r="T98" i="27"/>
  <c r="H98" i="27"/>
  <c r="AF97" i="27"/>
  <c r="AD97" i="27"/>
  <c r="T97" i="27"/>
  <c r="H97" i="27"/>
  <c r="AF96" i="27"/>
  <c r="AD96" i="27"/>
  <c r="T96" i="27"/>
  <c r="H96" i="27"/>
  <c r="AF95" i="27"/>
  <c r="AD95" i="27"/>
  <c r="T95" i="27"/>
  <c r="H95" i="27"/>
  <c r="AF94" i="27"/>
  <c r="AH94" i="27" s="1"/>
  <c r="H94" i="27"/>
  <c r="AF93" i="27"/>
  <c r="AI93" i="27" s="1"/>
  <c r="T93" i="27"/>
  <c r="H93" i="27"/>
  <c r="AF92" i="27"/>
  <c r="AI92" i="27" s="1"/>
  <c r="T92" i="27"/>
  <c r="H92" i="27"/>
  <c r="AF91" i="27"/>
  <c r="AI91" i="27" s="1"/>
  <c r="T91" i="27"/>
  <c r="H91" i="27"/>
  <c r="AF90" i="27"/>
  <c r="AH90" i="27" s="1"/>
  <c r="T90" i="27"/>
  <c r="H90" i="27"/>
  <c r="AF89" i="27"/>
  <c r="AH89" i="27" s="1"/>
  <c r="T89" i="27"/>
  <c r="H89" i="27"/>
  <c r="AF88" i="27"/>
  <c r="AD88" i="27"/>
  <c r="T88" i="27"/>
  <c r="H88" i="27"/>
  <c r="AF87" i="27"/>
  <c r="AD87" i="27"/>
  <c r="T87" i="27"/>
  <c r="H87" i="27"/>
  <c r="AF86" i="27"/>
  <c r="AD86" i="27"/>
  <c r="T86" i="27"/>
  <c r="H86" i="27"/>
  <c r="AF85" i="27"/>
  <c r="AD85" i="27"/>
  <c r="T85" i="27"/>
  <c r="H85" i="27"/>
  <c r="AF84" i="27"/>
  <c r="AD84" i="27"/>
  <c r="T84" i="27"/>
  <c r="H84" i="27"/>
  <c r="AF83" i="27"/>
  <c r="AD83" i="27"/>
  <c r="T83" i="27"/>
  <c r="H83" i="27"/>
  <c r="AF82" i="27"/>
  <c r="AD82" i="27"/>
  <c r="T82" i="27"/>
  <c r="H82" i="27"/>
  <c r="AF81" i="27"/>
  <c r="AD81" i="27"/>
  <c r="AI81" i="27" s="1"/>
  <c r="T81" i="27"/>
  <c r="H81" i="27"/>
  <c r="AF80" i="27"/>
  <c r="AD80" i="27"/>
  <c r="T80" i="27"/>
  <c r="H80" i="27"/>
  <c r="AF79" i="27"/>
  <c r="AD79" i="27"/>
  <c r="T79" i="27"/>
  <c r="H79" i="27"/>
  <c r="AF78" i="27"/>
  <c r="AD78" i="27"/>
  <c r="T78" i="27"/>
  <c r="H78" i="27"/>
  <c r="AF77" i="27"/>
  <c r="AD77" i="27"/>
  <c r="T77" i="27"/>
  <c r="H77" i="27"/>
  <c r="AF76" i="27"/>
  <c r="AD76" i="27"/>
  <c r="T76" i="27"/>
  <c r="H76" i="27"/>
  <c r="AF75" i="27"/>
  <c r="AD75" i="27"/>
  <c r="T75" i="27"/>
  <c r="H75" i="27"/>
  <c r="AF74" i="27"/>
  <c r="AD74" i="27"/>
  <c r="T74" i="27"/>
  <c r="H74" i="27"/>
  <c r="AF73" i="27"/>
  <c r="AD73" i="27"/>
  <c r="T73" i="27"/>
  <c r="H73" i="27"/>
  <c r="AF72" i="27"/>
  <c r="AD72" i="27"/>
  <c r="T72" i="27"/>
  <c r="H72" i="27"/>
  <c r="AF71" i="27"/>
  <c r="AH71" i="27" s="1"/>
  <c r="T71" i="27"/>
  <c r="H71" i="27"/>
  <c r="AF70" i="27"/>
  <c r="AI70" i="27" s="1"/>
  <c r="T70" i="27"/>
  <c r="H70" i="27"/>
  <c r="AF69" i="27"/>
  <c r="AI69" i="27" s="1"/>
  <c r="T69" i="27"/>
  <c r="H69" i="27"/>
  <c r="AF68" i="27"/>
  <c r="AH68" i="27" s="1"/>
  <c r="T68" i="27"/>
  <c r="H68" i="27"/>
  <c r="AF67" i="27"/>
  <c r="AD67" i="27"/>
  <c r="T67" i="27"/>
  <c r="H67" i="27"/>
  <c r="AF66" i="27"/>
  <c r="AD66" i="27"/>
  <c r="T66" i="27"/>
  <c r="H66" i="27"/>
  <c r="AF65" i="27"/>
  <c r="AD65" i="27"/>
  <c r="T65" i="27"/>
  <c r="H65" i="27"/>
  <c r="AF64" i="27"/>
  <c r="AD64" i="27"/>
  <c r="T64" i="27"/>
  <c r="H64" i="27"/>
  <c r="AF63" i="27"/>
  <c r="AD63" i="27"/>
  <c r="T63" i="27"/>
  <c r="H63" i="27"/>
  <c r="AF62" i="27"/>
  <c r="AD62" i="27"/>
  <c r="T62" i="27"/>
  <c r="H62" i="27"/>
  <c r="AF61" i="27"/>
  <c r="AI61" i="27" s="1"/>
  <c r="T61" i="27"/>
  <c r="H61" i="27"/>
  <c r="AF60" i="27"/>
  <c r="AH60" i="27" s="1"/>
  <c r="T60" i="27"/>
  <c r="H60" i="27"/>
  <c r="AF59" i="27"/>
  <c r="AH59" i="27" s="1"/>
  <c r="T59" i="27"/>
  <c r="H59" i="27"/>
  <c r="AF58" i="27"/>
  <c r="AH58" i="27" s="1"/>
  <c r="T58" i="27"/>
  <c r="H58" i="27"/>
  <c r="AF57" i="27"/>
  <c r="AI57" i="27" s="1"/>
  <c r="T57" i="27"/>
  <c r="H57" i="27"/>
  <c r="AF56" i="27"/>
  <c r="AI56" i="27" s="1"/>
  <c r="T56" i="27"/>
  <c r="H56" i="27"/>
  <c r="AF55" i="27"/>
  <c r="AH55" i="27" s="1"/>
  <c r="T55" i="27"/>
  <c r="H55" i="27"/>
  <c r="AF54" i="27"/>
  <c r="AG54" i="27" s="1"/>
  <c r="T54" i="27"/>
  <c r="H54" i="27"/>
  <c r="AF53" i="27"/>
  <c r="AI53" i="27" s="1"/>
  <c r="T53" i="27"/>
  <c r="H53" i="27"/>
  <c r="AF52" i="27"/>
  <c r="AD52" i="27"/>
  <c r="T52" i="27"/>
  <c r="H52" i="27"/>
  <c r="AF51" i="27"/>
  <c r="AD51" i="27"/>
  <c r="T51" i="27"/>
  <c r="H51" i="27"/>
  <c r="AF50" i="27"/>
  <c r="AD50" i="27"/>
  <c r="T50" i="27"/>
  <c r="H50" i="27"/>
  <c r="AF49" i="27"/>
  <c r="AD49" i="27"/>
  <c r="T49" i="27"/>
  <c r="H49" i="27"/>
  <c r="AF48" i="27"/>
  <c r="AD48" i="27"/>
  <c r="T48" i="27"/>
  <c r="H48" i="27"/>
  <c r="AF47" i="27"/>
  <c r="AD47" i="27"/>
  <c r="T47" i="27"/>
  <c r="H47" i="27"/>
  <c r="AF46" i="27"/>
  <c r="AD46" i="27"/>
  <c r="T46" i="27"/>
  <c r="H46" i="27"/>
  <c r="AF45" i="27"/>
  <c r="AD45" i="27"/>
  <c r="T45" i="27"/>
  <c r="H45" i="27"/>
  <c r="AF44" i="27"/>
  <c r="AD44" i="27"/>
  <c r="T44" i="27"/>
  <c r="H44" i="27"/>
  <c r="AF43" i="27"/>
  <c r="AD43" i="27"/>
  <c r="T43" i="27"/>
  <c r="H43" i="27"/>
  <c r="AF42" i="27"/>
  <c r="AD42" i="27"/>
  <c r="T42" i="27"/>
  <c r="H42" i="27"/>
  <c r="AF41" i="27"/>
  <c r="AD41" i="27"/>
  <c r="T41" i="27"/>
  <c r="H41" i="27"/>
  <c r="AF40" i="27"/>
  <c r="AD40" i="27"/>
  <c r="T40" i="27"/>
  <c r="H40" i="27"/>
  <c r="AF39" i="27"/>
  <c r="AD39" i="27"/>
  <c r="T39" i="27"/>
  <c r="H39" i="27"/>
  <c r="AF38" i="27"/>
  <c r="AD38" i="27"/>
  <c r="T38" i="27"/>
  <c r="H38" i="27"/>
  <c r="AF37" i="27"/>
  <c r="AD37" i="27"/>
  <c r="T37" i="27"/>
  <c r="H37" i="27"/>
  <c r="AF36" i="27"/>
  <c r="AD36" i="27"/>
  <c r="T36" i="27"/>
  <c r="H36" i="27"/>
  <c r="AF35" i="27"/>
  <c r="AD35" i="27"/>
  <c r="T35" i="27"/>
  <c r="H35" i="27"/>
  <c r="AF34" i="27"/>
  <c r="AD34" i="27"/>
  <c r="T34" i="27"/>
  <c r="H34" i="27"/>
  <c r="AF33" i="27"/>
  <c r="AD33" i="27"/>
  <c r="T33" i="27"/>
  <c r="H33" i="27"/>
  <c r="AF32" i="27"/>
  <c r="AD32" i="27"/>
  <c r="AG32" i="27" s="1"/>
  <c r="T32" i="27"/>
  <c r="H32" i="27"/>
  <c r="AF31" i="27"/>
  <c r="AD31" i="27"/>
  <c r="AH31" i="27" s="1"/>
  <c r="T31" i="27"/>
  <c r="H31" i="27"/>
  <c r="AF30" i="27"/>
  <c r="AD30" i="27"/>
  <c r="AH30" i="27" s="1"/>
  <c r="T30" i="27"/>
  <c r="H30" i="27"/>
  <c r="AF29" i="27"/>
  <c r="AD29" i="27"/>
  <c r="AH29" i="27" s="1"/>
  <c r="T29" i="27"/>
  <c r="H29" i="27"/>
  <c r="AF28" i="27"/>
  <c r="AH28" i="27" s="1"/>
  <c r="T28" i="27"/>
  <c r="H28" i="27"/>
  <c r="AF27" i="27"/>
  <c r="AH27" i="27" s="1"/>
  <c r="T27" i="27"/>
  <c r="H27" i="27"/>
  <c r="AF26" i="27"/>
  <c r="AI26" i="27" s="1"/>
  <c r="T26" i="27"/>
  <c r="H26" i="27"/>
  <c r="AF25" i="27"/>
  <c r="AI25" i="27" s="1"/>
  <c r="T25" i="27"/>
  <c r="H25" i="27"/>
  <c r="AF24" i="27"/>
  <c r="AI24" i="27" s="1"/>
  <c r="T24" i="27"/>
  <c r="H24" i="27"/>
  <c r="AF23" i="27"/>
  <c r="AG23" i="27" s="1"/>
  <c r="T23" i="27"/>
  <c r="H23" i="27"/>
  <c r="AF22" i="27"/>
  <c r="AI22" i="27" s="1"/>
  <c r="T22" i="27"/>
  <c r="H22" i="27"/>
  <c r="AF21" i="27"/>
  <c r="AI21" i="27" s="1"/>
  <c r="T21" i="27"/>
  <c r="H21" i="27"/>
  <c r="AF20" i="27"/>
  <c r="AI20" i="27" s="1"/>
  <c r="T20" i="27"/>
  <c r="H20" i="27"/>
  <c r="AF19" i="27"/>
  <c r="AD19" i="27"/>
  <c r="T19" i="27"/>
  <c r="H19" i="27"/>
  <c r="AF18" i="27"/>
  <c r="AH18" i="27" s="1"/>
  <c r="T18" i="27"/>
  <c r="H18" i="27"/>
  <c r="AF17" i="27"/>
  <c r="AD17" i="27"/>
  <c r="H17" i="27"/>
  <c r="AF16" i="27"/>
  <c r="AG16" i="27" s="1"/>
  <c r="H16" i="27"/>
  <c r="AF15" i="27"/>
  <c r="AD15" i="27"/>
  <c r="T15" i="27"/>
  <c r="H15" i="27"/>
  <c r="AF14" i="27"/>
  <c r="AH14" i="27" s="1"/>
  <c r="T14" i="27"/>
  <c r="H14" i="27"/>
  <c r="AF13" i="27"/>
  <c r="AG13" i="27" s="1"/>
  <c r="T13" i="27"/>
  <c r="H13" i="27"/>
  <c r="AF12" i="27"/>
  <c r="AD12" i="27"/>
  <c r="T12" i="27"/>
  <c r="H12" i="27"/>
  <c r="AF11" i="27"/>
  <c r="AD11" i="27"/>
  <c r="T11" i="27"/>
  <c r="H11" i="27"/>
  <c r="AF10" i="27"/>
  <c r="AD10" i="27"/>
  <c r="T10" i="27"/>
  <c r="H10" i="27"/>
  <c r="AF9" i="27"/>
  <c r="AG9" i="27" s="1"/>
  <c r="T9" i="27"/>
  <c r="H9" i="27"/>
  <c r="AF8" i="27"/>
  <c r="AG8" i="27" s="1"/>
  <c r="T8" i="27"/>
  <c r="H8" i="27"/>
  <c r="AF7" i="27"/>
  <c r="AH7" i="27" s="1"/>
  <c r="T7" i="27"/>
  <c r="H7" i="27"/>
  <c r="AF6" i="27"/>
  <c r="AI6" i="27" s="1"/>
  <c r="T6" i="27"/>
  <c r="H6" i="27"/>
  <c r="AF5" i="27"/>
  <c r="AH5" i="27" s="1"/>
  <c r="T5" i="27"/>
  <c r="H5" i="27"/>
  <c r="AF4" i="27"/>
  <c r="AD4" i="27"/>
  <c r="T4" i="27"/>
  <c r="H4" i="27"/>
  <c r="AF3" i="27"/>
  <c r="AG3" i="27" s="1"/>
  <c r="T3" i="27"/>
  <c r="H3" i="27"/>
  <c r="AF2" i="27"/>
  <c r="AI2" i="27" s="1"/>
  <c r="T2" i="27"/>
  <c r="H2" i="27"/>
  <c r="C2" i="2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2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B170" i="7"/>
  <c r="B171" i="7"/>
  <c r="B172" i="7" s="1"/>
  <c r="B173" i="7"/>
  <c r="B174" i="7"/>
  <c r="B175" i="7"/>
  <c r="B176" i="7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/>
  <c r="B189" i="7" s="1"/>
  <c r="B190" i="7" s="1"/>
  <c r="B191" i="7" s="1"/>
  <c r="B192" i="7"/>
  <c r="B193" i="7" s="1"/>
  <c r="B194" i="7" s="1"/>
  <c r="B195" i="7" s="1"/>
  <c r="B196" i="7" s="1"/>
  <c r="B197" i="7"/>
  <c r="BL3" i="7"/>
  <c r="BL8" i="7"/>
  <c r="BL9" i="7"/>
  <c r="BL17" i="7"/>
  <c r="BL19" i="7"/>
  <c r="BL20" i="7"/>
  <c r="BL21" i="7"/>
  <c r="BL24" i="7"/>
  <c r="BL25" i="7"/>
  <c r="BL26" i="7"/>
  <c r="BL27" i="7"/>
  <c r="BL29" i="7"/>
  <c r="BL30" i="7"/>
  <c r="BL31" i="7"/>
  <c r="BL32" i="7"/>
  <c r="BL33" i="7"/>
  <c r="BL34" i="7"/>
  <c r="BL37" i="7"/>
  <c r="BL38" i="7"/>
  <c r="BL39" i="7"/>
  <c r="BL40" i="7"/>
  <c r="BL41" i="7"/>
  <c r="BL42" i="7"/>
  <c r="BL43" i="7"/>
  <c r="BL44" i="7"/>
  <c r="BL52" i="7"/>
  <c r="BL53" i="7"/>
  <c r="BL103" i="7"/>
  <c r="BL104" i="7"/>
  <c r="BL105" i="7"/>
  <c r="BL106" i="7"/>
  <c r="BL112" i="7"/>
  <c r="BL113" i="7"/>
  <c r="BL118" i="7"/>
  <c r="BL124" i="7"/>
  <c r="BL154" i="7"/>
  <c r="BL155" i="7"/>
  <c r="BL165" i="7"/>
  <c r="BL170" i="7"/>
  <c r="BL171" i="7"/>
  <c r="BL172" i="7"/>
  <c r="BL173" i="7"/>
  <c r="BL174" i="7"/>
  <c r="BL175" i="7"/>
  <c r="BL197" i="7"/>
  <c r="BL2" i="7"/>
  <c r="BK3" i="7"/>
  <c r="BK8" i="7"/>
  <c r="BK9" i="7"/>
  <c r="BK17" i="7"/>
  <c r="BK19" i="7"/>
  <c r="BK20" i="7"/>
  <c r="BK21" i="7"/>
  <c r="BK24" i="7"/>
  <c r="BK25" i="7"/>
  <c r="BK26" i="7"/>
  <c r="BK27" i="7"/>
  <c r="BK29" i="7"/>
  <c r="BK30" i="7"/>
  <c r="BK31" i="7"/>
  <c r="BK32" i="7"/>
  <c r="BK33" i="7"/>
  <c r="BK34" i="7"/>
  <c r="BK37" i="7"/>
  <c r="BK38" i="7"/>
  <c r="BK39" i="7"/>
  <c r="BK40" i="7"/>
  <c r="BK41" i="7"/>
  <c r="BK42" i="7"/>
  <c r="BK43" i="7"/>
  <c r="BK44" i="7"/>
  <c r="BK52" i="7"/>
  <c r="BK53" i="7"/>
  <c r="BK103" i="7"/>
  <c r="BK104" i="7"/>
  <c r="BK105" i="7"/>
  <c r="BK106" i="7"/>
  <c r="BK112" i="7"/>
  <c r="BK113" i="7"/>
  <c r="BK118" i="7"/>
  <c r="BK124" i="7"/>
  <c r="BK154" i="7"/>
  <c r="BK155" i="7"/>
  <c r="BK165" i="7"/>
  <c r="BK170" i="7"/>
  <c r="BK171" i="7"/>
  <c r="BK172" i="7"/>
  <c r="BK173" i="7"/>
  <c r="BK174" i="7"/>
  <c r="BK175" i="7"/>
  <c r="BK197" i="7"/>
  <c r="BK2" i="7"/>
  <c r="BC86" i="7"/>
  <c r="BC87" i="7"/>
  <c r="BC92" i="7"/>
  <c r="BC93" i="7"/>
  <c r="BA86" i="7"/>
  <c r="BA87" i="7"/>
  <c r="BA92" i="7"/>
  <c r="BA93" i="7"/>
  <c r="AG4" i="10"/>
  <c r="AH4" i="10" s="1"/>
  <c r="AG5" i="10"/>
  <c r="AH5" i="10" s="1"/>
  <c r="AG6" i="10"/>
  <c r="AH6" i="10" s="1"/>
  <c r="AG7" i="10"/>
  <c r="AH7" i="10" s="1"/>
  <c r="AG8" i="10"/>
  <c r="AH8" i="10" s="1"/>
  <c r="AG9" i="10"/>
  <c r="AH9" i="10" s="1"/>
  <c r="AG10" i="10"/>
  <c r="AH10" i="10" s="1"/>
  <c r="AG11" i="10"/>
  <c r="AH11" i="10" s="1"/>
  <c r="AG12" i="10"/>
  <c r="AH12" i="10" s="1"/>
  <c r="AG13" i="10"/>
  <c r="AH13" i="10" s="1"/>
  <c r="AG14" i="10"/>
  <c r="AH14" i="10" s="1"/>
  <c r="AG15" i="10"/>
  <c r="AH15" i="10" s="1"/>
  <c r="AG16" i="10"/>
  <c r="AH16" i="10" s="1"/>
  <c r="AG17" i="10"/>
  <c r="AH17" i="10" s="1"/>
  <c r="AG18" i="10"/>
  <c r="AH18" i="10" s="1"/>
  <c r="AG19" i="10"/>
  <c r="AH19" i="10" s="1"/>
  <c r="AG20" i="10"/>
  <c r="AH20" i="10" s="1"/>
  <c r="AG21" i="10"/>
  <c r="AH21" i="10" s="1"/>
  <c r="AG22" i="10"/>
  <c r="AH22" i="10" s="1"/>
  <c r="AG23" i="10"/>
  <c r="AH23" i="10" s="1"/>
  <c r="AG24" i="10"/>
  <c r="AH24" i="10" s="1"/>
  <c r="AG25" i="10"/>
  <c r="AH25" i="10" s="1"/>
  <c r="AG26" i="10"/>
  <c r="AH26" i="10" s="1"/>
  <c r="AG27" i="10"/>
  <c r="AH27" i="10" s="1"/>
  <c r="AG28" i="10"/>
  <c r="AH28" i="10" s="1"/>
  <c r="AG29" i="10"/>
  <c r="AH29" i="10" s="1"/>
  <c r="AG30" i="10"/>
  <c r="AH30" i="10" s="1"/>
  <c r="AG31" i="10"/>
  <c r="AH31" i="10" s="1"/>
  <c r="AG32" i="10"/>
  <c r="AH32" i="10" s="1"/>
  <c r="AG33" i="10"/>
  <c r="AH33" i="10" s="1"/>
  <c r="AG34" i="10"/>
  <c r="AH34" i="10" s="1"/>
  <c r="AG35" i="10"/>
  <c r="AH35" i="10" s="1"/>
  <c r="AG36" i="10"/>
  <c r="AH36" i="10" s="1"/>
  <c r="AG37" i="10"/>
  <c r="AH37" i="10" s="1"/>
  <c r="AG38" i="10"/>
  <c r="AH38" i="10" s="1"/>
  <c r="AG39" i="10"/>
  <c r="AH39" i="10" s="1"/>
  <c r="AG40" i="10"/>
  <c r="AH40" i="10" s="1"/>
  <c r="AG41" i="10"/>
  <c r="AH41" i="10" s="1"/>
  <c r="AG42" i="10"/>
  <c r="AH42" i="10" s="1"/>
  <c r="AG43" i="10"/>
  <c r="AH43" i="10" s="1"/>
  <c r="AG44" i="10"/>
  <c r="AH44" i="10" s="1"/>
  <c r="AG45" i="10"/>
  <c r="AH45" i="10" s="1"/>
  <c r="AG46" i="10"/>
  <c r="AH46" i="10" s="1"/>
  <c r="AG47" i="10"/>
  <c r="AH47" i="10" s="1"/>
  <c r="AG48" i="10"/>
  <c r="AH48" i="10" s="1"/>
  <c r="AG49" i="10"/>
  <c r="AH49" i="10" s="1"/>
  <c r="AG50" i="10"/>
  <c r="AH50" i="10" s="1"/>
  <c r="AG51" i="10"/>
  <c r="AH51" i="10" s="1"/>
  <c r="AG52" i="10"/>
  <c r="AH52" i="10" s="1"/>
  <c r="AG53" i="10"/>
  <c r="AH53" i="10" s="1"/>
  <c r="AG54" i="10"/>
  <c r="AH54" i="10" s="1"/>
  <c r="AG55" i="10"/>
  <c r="AH55" i="10" s="1"/>
  <c r="AG56" i="10"/>
  <c r="AH56" i="10" s="1"/>
  <c r="AG57" i="10"/>
  <c r="AH57" i="10" s="1"/>
  <c r="AG58" i="10"/>
  <c r="AH58" i="10" s="1"/>
  <c r="AG59" i="10"/>
  <c r="AH59" i="10" s="1"/>
  <c r="AG60" i="10"/>
  <c r="AH60" i="10" s="1"/>
  <c r="AG61" i="10"/>
  <c r="AH61" i="10" s="1"/>
  <c r="AG62" i="10"/>
  <c r="AH62" i="10" s="1"/>
  <c r="AG63" i="10"/>
  <c r="AH63" i="10" s="1"/>
  <c r="AG64" i="10"/>
  <c r="AH64" i="10" s="1"/>
  <c r="AG65" i="10"/>
  <c r="AH65" i="10" s="1"/>
  <c r="AG66" i="10"/>
  <c r="AH66" i="10" s="1"/>
  <c r="AG67" i="10"/>
  <c r="AH67" i="10" s="1"/>
  <c r="AG68" i="10"/>
  <c r="AH68" i="10" s="1"/>
  <c r="AG69" i="10"/>
  <c r="AH69" i="10" s="1"/>
  <c r="AG70" i="10"/>
  <c r="AH70" i="10" s="1"/>
  <c r="AG71" i="10"/>
  <c r="AH71" i="10" s="1"/>
  <c r="AG72" i="10"/>
  <c r="AH72" i="10" s="1"/>
  <c r="AG73" i="10"/>
  <c r="AH73" i="10" s="1"/>
  <c r="AG74" i="10"/>
  <c r="AH74" i="10" s="1"/>
  <c r="AG75" i="10"/>
  <c r="AH75" i="10" s="1"/>
  <c r="AG76" i="10"/>
  <c r="AH76" i="10" s="1"/>
  <c r="AG77" i="10"/>
  <c r="AH77" i="10" s="1"/>
  <c r="AG78" i="10"/>
  <c r="AH78" i="10" s="1"/>
  <c r="AG79" i="10"/>
  <c r="AH79" i="10" s="1"/>
  <c r="AG80" i="10"/>
  <c r="AH80" i="10" s="1"/>
  <c r="AG81" i="10"/>
  <c r="AH81" i="10" s="1"/>
  <c r="AG82" i="10"/>
  <c r="AH82" i="10" s="1"/>
  <c r="AG83" i="10"/>
  <c r="AH83" i="10" s="1"/>
  <c r="AG84" i="10"/>
  <c r="AH84" i="10" s="1"/>
  <c r="AG85" i="10"/>
  <c r="AH85" i="10" s="1"/>
  <c r="AG86" i="10"/>
  <c r="AH86" i="10" s="1"/>
  <c r="AG87" i="10"/>
  <c r="AH87" i="10" s="1"/>
  <c r="AG88" i="10"/>
  <c r="AH88" i="10" s="1"/>
  <c r="AG89" i="10"/>
  <c r="AH89" i="10" s="1"/>
  <c r="AG90" i="10"/>
  <c r="AH90" i="10" s="1"/>
  <c r="AG91" i="10"/>
  <c r="AH91" i="10" s="1"/>
  <c r="AG92" i="10"/>
  <c r="AH92" i="10" s="1"/>
  <c r="AG93" i="10"/>
  <c r="AH93" i="10" s="1"/>
  <c r="AG94" i="10"/>
  <c r="AH94" i="10" s="1"/>
  <c r="AG95" i="10"/>
  <c r="AH95" i="10" s="1"/>
  <c r="AG96" i="10"/>
  <c r="AH96" i="10" s="1"/>
  <c r="AG97" i="10"/>
  <c r="AH97" i="10" s="1"/>
  <c r="AG98" i="10"/>
  <c r="AH98" i="10" s="1"/>
  <c r="AG99" i="10"/>
  <c r="AH99" i="10" s="1"/>
  <c r="AG100" i="10"/>
  <c r="AH100" i="10" s="1"/>
  <c r="AG101" i="10"/>
  <c r="AH101" i="10" s="1"/>
  <c r="AG102" i="10"/>
  <c r="AH102" i="10" s="1"/>
  <c r="AG103" i="10"/>
  <c r="AH103" i="10" s="1"/>
  <c r="AG104" i="10"/>
  <c r="AH104" i="10" s="1"/>
  <c r="AG105" i="10"/>
  <c r="AH105" i="10" s="1"/>
  <c r="AG106" i="10"/>
  <c r="AH106" i="10" s="1"/>
  <c r="AG107" i="10"/>
  <c r="AH107" i="10" s="1"/>
  <c r="AG108" i="10"/>
  <c r="AH108" i="10" s="1"/>
  <c r="AG109" i="10"/>
  <c r="AH109" i="10" s="1"/>
  <c r="AG110" i="10"/>
  <c r="AH110" i="10" s="1"/>
  <c r="AG111" i="10"/>
  <c r="AH111" i="10" s="1"/>
  <c r="AG112" i="10"/>
  <c r="AH112" i="10" s="1"/>
  <c r="AG113" i="10"/>
  <c r="AH113" i="10" s="1"/>
  <c r="AG114" i="10"/>
  <c r="AH114" i="10" s="1"/>
  <c r="AG115" i="10"/>
  <c r="AH115" i="10" s="1"/>
  <c r="AG116" i="10"/>
  <c r="AH116" i="10" s="1"/>
  <c r="AG117" i="10"/>
  <c r="AH117" i="10" s="1"/>
  <c r="AG118" i="10"/>
  <c r="AH118" i="10" s="1"/>
  <c r="AG119" i="10"/>
  <c r="AH119" i="10" s="1"/>
  <c r="AG120" i="10"/>
  <c r="AH120" i="10" s="1"/>
  <c r="AG121" i="10"/>
  <c r="AH121" i="10" s="1"/>
  <c r="AG122" i="10"/>
  <c r="AH122" i="10" s="1"/>
  <c r="AG123" i="10"/>
  <c r="AH123" i="10" s="1"/>
  <c r="AG124" i="10"/>
  <c r="AH124" i="10" s="1"/>
  <c r="AG125" i="10"/>
  <c r="AH125" i="10" s="1"/>
  <c r="AG126" i="10"/>
  <c r="AH126" i="10" s="1"/>
  <c r="AG127" i="10"/>
  <c r="AH127" i="10" s="1"/>
  <c r="AG128" i="10"/>
  <c r="AH128" i="10" s="1"/>
  <c r="AG129" i="10"/>
  <c r="AH129" i="10" s="1"/>
  <c r="AG130" i="10"/>
  <c r="AH130" i="10" s="1"/>
  <c r="AG131" i="10"/>
  <c r="AH131" i="10" s="1"/>
  <c r="AG132" i="10"/>
  <c r="AH132" i="10" s="1"/>
  <c r="AG133" i="10"/>
  <c r="AH133" i="10" s="1"/>
  <c r="AG134" i="10"/>
  <c r="AH134" i="10" s="1"/>
  <c r="AG135" i="10"/>
  <c r="AH135" i="10" s="1"/>
  <c r="AG136" i="10"/>
  <c r="AH136" i="10" s="1"/>
  <c r="AG137" i="10"/>
  <c r="AH137" i="10" s="1"/>
  <c r="AG138" i="10"/>
  <c r="AH138" i="10" s="1"/>
  <c r="AG139" i="10"/>
  <c r="AH139" i="10" s="1"/>
  <c r="AG140" i="10"/>
  <c r="AH140" i="10" s="1"/>
  <c r="AG141" i="10"/>
  <c r="AH141" i="10" s="1"/>
  <c r="AG142" i="10"/>
  <c r="AH142" i="10" s="1"/>
  <c r="AG143" i="10"/>
  <c r="AH143" i="10" s="1"/>
  <c r="AG144" i="10"/>
  <c r="AH144" i="10" s="1"/>
  <c r="AG145" i="10"/>
  <c r="AH145" i="10" s="1"/>
  <c r="AG146" i="10"/>
  <c r="AH146" i="10" s="1"/>
  <c r="AG147" i="10"/>
  <c r="AH147" i="10" s="1"/>
  <c r="AG148" i="10"/>
  <c r="AH148" i="10" s="1"/>
  <c r="AG149" i="10"/>
  <c r="AH149" i="10" s="1"/>
  <c r="AG150" i="10"/>
  <c r="AH150" i="10" s="1"/>
  <c r="AG151" i="10"/>
  <c r="AH151" i="10" s="1"/>
  <c r="AG152" i="10"/>
  <c r="AH152" i="10" s="1"/>
  <c r="AG153" i="10"/>
  <c r="AH153" i="10" s="1"/>
  <c r="AG154" i="10"/>
  <c r="AH154" i="10" s="1"/>
  <c r="AG155" i="10"/>
  <c r="AH155" i="10" s="1"/>
  <c r="AG156" i="10"/>
  <c r="AH156" i="10" s="1"/>
  <c r="AG157" i="10"/>
  <c r="AH157" i="10" s="1"/>
  <c r="AG158" i="10"/>
  <c r="AH158" i="10" s="1"/>
  <c r="AG159" i="10"/>
  <c r="AH159" i="10" s="1"/>
  <c r="AG160" i="10"/>
  <c r="AH160" i="10" s="1"/>
  <c r="AG161" i="10"/>
  <c r="AH161" i="10" s="1"/>
  <c r="AG162" i="10"/>
  <c r="AH162" i="10" s="1"/>
  <c r="AG163" i="10"/>
  <c r="AH163" i="10" s="1"/>
  <c r="AG164" i="10"/>
  <c r="AH164" i="10" s="1"/>
  <c r="AG165" i="10"/>
  <c r="AH165" i="10" s="1"/>
  <c r="AG166" i="10"/>
  <c r="AH166" i="10" s="1"/>
  <c r="AG167" i="10"/>
  <c r="AH167" i="10" s="1"/>
  <c r="AG168" i="10"/>
  <c r="AH168" i="10" s="1"/>
  <c r="AG169" i="10"/>
  <c r="AH169" i="10" s="1"/>
  <c r="AG170" i="10"/>
  <c r="AH170" i="10" s="1"/>
  <c r="AG171" i="10"/>
  <c r="AH171" i="10" s="1"/>
  <c r="AG172" i="10"/>
  <c r="AH172" i="10" s="1"/>
  <c r="AG173" i="10"/>
  <c r="AH173" i="10" s="1"/>
  <c r="AG174" i="10"/>
  <c r="AH174" i="10" s="1"/>
  <c r="AG175" i="10"/>
  <c r="AH175" i="10" s="1"/>
  <c r="AG176" i="10"/>
  <c r="AH176" i="10" s="1"/>
  <c r="AG3" i="10"/>
  <c r="AH3" i="10" s="1"/>
  <c r="E97" i="10"/>
  <c r="D97" i="10"/>
  <c r="E95" i="10"/>
  <c r="D95" i="10"/>
  <c r="E76" i="10"/>
  <c r="D76" i="10"/>
  <c r="E53" i="10"/>
  <c r="D53" i="10"/>
  <c r="E50" i="10"/>
  <c r="D50" i="10"/>
  <c r="E28" i="10"/>
  <c r="D28" i="10"/>
  <c r="E25" i="10"/>
  <c r="D25" i="10"/>
  <c r="E20" i="10"/>
  <c r="D20" i="10"/>
  <c r="E5" i="10"/>
  <c r="D5" i="10"/>
  <c r="L34" i="14"/>
  <c r="S33" i="14"/>
  <c r="L33" i="14"/>
  <c r="S32" i="14"/>
  <c r="L32" i="14"/>
  <c r="S31" i="14"/>
  <c r="L31" i="14"/>
  <c r="M10" i="14"/>
  <c r="L10" i="14"/>
  <c r="K10" i="14"/>
  <c r="D10" i="14"/>
  <c r="M9" i="14"/>
  <c r="L9" i="14"/>
  <c r="K9" i="14"/>
  <c r="D9" i="14"/>
  <c r="M8" i="14"/>
  <c r="L8" i="14"/>
  <c r="K8" i="14"/>
  <c r="D8" i="14"/>
  <c r="M7" i="14"/>
  <c r="L7" i="14"/>
  <c r="K7" i="14"/>
  <c r="D7" i="14"/>
  <c r="M6" i="14"/>
  <c r="L6" i="14"/>
  <c r="K6" i="14"/>
  <c r="D6" i="14"/>
  <c r="M5" i="14"/>
  <c r="L5" i="14"/>
  <c r="K5" i="14"/>
  <c r="D5" i="14"/>
  <c r="M4" i="14"/>
  <c r="L4" i="14"/>
  <c r="K4" i="14"/>
  <c r="D4" i="14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AN161" i="7"/>
  <c r="V161" i="7"/>
  <c r="AN160" i="7"/>
  <c r="V160" i="7"/>
  <c r="AN159" i="7"/>
  <c r="V159" i="7"/>
  <c r="AN158" i="7"/>
  <c r="V158" i="7"/>
  <c r="AN157" i="7"/>
  <c r="V157" i="7"/>
  <c r="AN156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AN126" i="7"/>
  <c r="V126" i="7"/>
  <c r="AN125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1" i="7"/>
  <c r="V100" i="7"/>
  <c r="V99" i="7"/>
  <c r="V98" i="7"/>
  <c r="V97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AN67" i="7"/>
  <c r="V67" i="7"/>
  <c r="AN66" i="7"/>
  <c r="V66" i="7"/>
  <c r="AN65" i="7"/>
  <c r="V65" i="7"/>
  <c r="AN64" i="7"/>
  <c r="V64" i="7"/>
  <c r="AN63" i="7"/>
  <c r="V63" i="7"/>
  <c r="AN62" i="7"/>
  <c r="V62" i="7"/>
  <c r="V61" i="7"/>
  <c r="V60" i="7"/>
  <c r="V59" i="7"/>
  <c r="V58" i="7"/>
  <c r="V57" i="7"/>
  <c r="V56" i="7"/>
  <c r="V55" i="7"/>
  <c r="V54" i="7"/>
  <c r="V53" i="7"/>
  <c r="AN52" i="7"/>
  <c r="V52" i="7"/>
  <c r="AN51" i="7"/>
  <c r="V51" i="7"/>
  <c r="AN50" i="7"/>
  <c r="V50" i="7"/>
  <c r="AN49" i="7"/>
  <c r="V49" i="7"/>
  <c r="AN48" i="7"/>
  <c r="V48" i="7"/>
  <c r="AN47" i="7"/>
  <c r="V47" i="7"/>
  <c r="AN46" i="7"/>
  <c r="V46" i="7"/>
  <c r="AN45" i="7"/>
  <c r="V45" i="7"/>
  <c r="AN44" i="7"/>
  <c r="V44" i="7"/>
  <c r="AN43" i="7"/>
  <c r="V43" i="7"/>
  <c r="AN42" i="7"/>
  <c r="V42" i="7"/>
  <c r="AN41" i="7"/>
  <c r="V41" i="7"/>
  <c r="AN40" i="7"/>
  <c r="V40" i="7"/>
  <c r="AN39" i="7"/>
  <c r="V39" i="7"/>
  <c r="AN38" i="7"/>
  <c r="V38" i="7"/>
  <c r="AN37" i="7"/>
  <c r="V37" i="7"/>
  <c r="AN36" i="7"/>
  <c r="V36" i="7"/>
  <c r="AN35" i="7"/>
  <c r="V35" i="7"/>
  <c r="AN34" i="7"/>
  <c r="V34" i="7"/>
  <c r="AN33" i="7"/>
  <c r="V33" i="7"/>
  <c r="AN32" i="7"/>
  <c r="V32" i="7"/>
  <c r="AN31" i="7"/>
  <c r="V31" i="7"/>
  <c r="AN30" i="7"/>
  <c r="V30" i="7"/>
  <c r="AN29" i="7"/>
  <c r="V29" i="7"/>
  <c r="V28" i="7"/>
  <c r="V27" i="7"/>
  <c r="V26" i="7"/>
  <c r="V25" i="7"/>
  <c r="V24" i="7"/>
  <c r="V23" i="7"/>
  <c r="V22" i="7"/>
  <c r="V21" i="7"/>
  <c r="V20" i="7"/>
  <c r="V19" i="7"/>
  <c r="V18" i="7"/>
  <c r="Z17" i="7"/>
  <c r="V16" i="7"/>
  <c r="V15" i="7"/>
  <c r="V14" i="7"/>
  <c r="V13" i="7"/>
  <c r="AN12" i="7"/>
  <c r="V12" i="7"/>
  <c r="AN11" i="7"/>
  <c r="V11" i="7"/>
  <c r="AN10" i="7"/>
  <c r="V10" i="7"/>
  <c r="V9" i="7"/>
  <c r="V8" i="7"/>
  <c r="V7" i="7"/>
  <c r="V6" i="7"/>
  <c r="V5" i="7"/>
  <c r="AN4" i="7"/>
  <c r="V4" i="7"/>
  <c r="V3" i="7"/>
  <c r="V2" i="7"/>
  <c r="V197" i="7"/>
  <c r="S35" i="14"/>
  <c r="S34" i="14"/>
  <c r="BJ172" i="7"/>
  <c r="BI172" i="7"/>
  <c r="BH172" i="7"/>
  <c r="BG172" i="7"/>
  <c r="BM172" i="7" s="1"/>
  <c r="AO172" i="7"/>
  <c r="AE172" i="7"/>
  <c r="AC172" i="7"/>
  <c r="H172" i="7"/>
  <c r="BJ171" i="7"/>
  <c r="BI171" i="7"/>
  <c r="BH171" i="7"/>
  <c r="BG171" i="7"/>
  <c r="BM171" i="7" s="1"/>
  <c r="AO171" i="7"/>
  <c r="AE171" i="7"/>
  <c r="AC171" i="7"/>
  <c r="H171" i="7"/>
  <c r="AS57" i="7"/>
  <c r="AS58" i="7"/>
  <c r="AS59" i="7"/>
  <c r="AS61" i="7"/>
  <c r="AS86" i="7"/>
  <c r="AS87" i="7"/>
  <c r="AS92" i="7"/>
  <c r="AS93" i="7"/>
  <c r="AS100" i="7"/>
  <c r="AS101" i="7"/>
  <c r="AS102" i="7"/>
  <c r="AU57" i="7"/>
  <c r="AU58" i="7"/>
  <c r="AU59" i="7"/>
  <c r="AU61" i="7"/>
  <c r="AU86" i="7"/>
  <c r="AU87" i="7"/>
  <c r="AU92" i="7"/>
  <c r="AU93" i="7"/>
  <c r="AU100" i="7"/>
  <c r="AU101" i="7"/>
  <c r="AU102" i="7"/>
  <c r="AY75" i="7"/>
  <c r="AY76" i="7"/>
  <c r="AY77" i="7"/>
  <c r="AY78" i="7"/>
  <c r="AY79" i="7"/>
  <c r="AY80" i="7"/>
  <c r="AY86" i="7"/>
  <c r="AY87" i="7"/>
  <c r="AY102" i="7"/>
  <c r="AY131" i="7"/>
  <c r="AY132" i="7"/>
  <c r="AY133" i="7"/>
  <c r="AY134" i="7"/>
  <c r="AY151" i="7"/>
  <c r="AY152" i="7"/>
  <c r="AY153" i="7"/>
  <c r="AW102" i="7"/>
  <c r="AW131" i="7"/>
  <c r="AW132" i="7"/>
  <c r="AW133" i="7"/>
  <c r="AW134" i="7"/>
  <c r="AW151" i="7"/>
  <c r="AW152" i="7"/>
  <c r="AW153" i="7"/>
  <c r="AW75" i="7"/>
  <c r="AW76" i="7"/>
  <c r="AW77" i="7"/>
  <c r="AW78" i="7"/>
  <c r="AW79" i="7"/>
  <c r="AW80" i="7"/>
  <c r="AW86" i="7"/>
  <c r="AW87" i="7"/>
  <c r="AI72" i="27" l="1"/>
  <c r="AI80" i="27"/>
  <c r="AI88" i="27"/>
  <c r="AI4" i="27"/>
  <c r="AI19" i="27"/>
  <c r="AI15" i="27"/>
  <c r="AI73" i="27"/>
  <c r="AI40" i="27"/>
  <c r="AI48" i="27"/>
  <c r="AI12" i="27"/>
  <c r="AI39" i="27"/>
  <c r="AI47" i="27"/>
  <c r="AI156" i="27"/>
  <c r="AI164" i="27"/>
  <c r="AI169" i="27"/>
  <c r="AI179" i="27"/>
  <c r="AI187" i="27"/>
  <c r="AI192" i="27"/>
  <c r="AI36" i="27"/>
  <c r="AI44" i="27"/>
  <c r="AI52" i="27"/>
  <c r="AI65" i="27"/>
  <c r="AI77" i="27"/>
  <c r="AI85" i="27"/>
  <c r="AI96" i="27"/>
  <c r="AI160" i="27"/>
  <c r="AI183" i="27"/>
  <c r="AI191" i="27"/>
  <c r="AI159" i="27"/>
  <c r="AI10" i="27"/>
  <c r="AI37" i="27"/>
  <c r="AI45" i="27"/>
  <c r="AI66" i="27"/>
  <c r="AI78" i="27"/>
  <c r="AI86" i="27"/>
  <c r="AI97" i="27"/>
  <c r="AI106" i="27"/>
  <c r="AI125" i="27"/>
  <c r="AI161" i="27"/>
  <c r="AI166" i="27"/>
  <c r="AI176" i="27"/>
  <c r="AI184" i="27"/>
  <c r="AI34" i="27"/>
  <c r="AI42" i="27"/>
  <c r="AI50" i="27"/>
  <c r="AI63" i="27"/>
  <c r="AI75" i="27"/>
  <c r="AI83" i="27"/>
  <c r="AI181" i="27"/>
  <c r="AI189" i="27"/>
  <c r="AI153" i="27"/>
  <c r="AI163" i="27"/>
  <c r="AI168" i="27"/>
  <c r="AI178" i="27"/>
  <c r="AI186" i="27"/>
  <c r="AI33" i="27"/>
  <c r="AI41" i="27"/>
  <c r="AI49" i="27"/>
  <c r="AI62" i="27"/>
  <c r="AI74" i="27"/>
  <c r="AI82" i="27"/>
  <c r="AI157" i="27"/>
  <c r="AI180" i="27"/>
  <c r="AI188" i="27"/>
  <c r="AI11" i="27"/>
  <c r="AI38" i="27"/>
  <c r="AI46" i="27"/>
  <c r="AI67" i="27"/>
  <c r="AI79" i="27"/>
  <c r="AI87" i="27"/>
  <c r="AI102" i="27"/>
  <c r="AI107" i="27"/>
  <c r="AI126" i="27"/>
  <c r="AI162" i="27"/>
  <c r="AI167" i="27"/>
  <c r="AI177" i="27"/>
  <c r="AI185" i="27"/>
  <c r="AI17" i="27"/>
  <c r="AI35" i="27"/>
  <c r="AI43" i="27"/>
  <c r="AI51" i="27"/>
  <c r="AI64" i="27"/>
  <c r="AI76" i="27"/>
  <c r="AI84" i="27"/>
  <c r="AI95" i="27"/>
  <c r="AI113" i="27"/>
  <c r="AI182" i="27"/>
  <c r="AI190" i="27"/>
  <c r="AI194" i="27"/>
  <c r="AI174" i="27"/>
  <c r="AI170" i="27"/>
  <c r="AI154" i="27"/>
  <c r="AI150" i="27"/>
  <c r="AI134" i="27"/>
  <c r="AI122" i="27"/>
  <c r="AI118" i="27"/>
  <c r="AI98" i="27"/>
  <c r="AI94" i="27"/>
  <c r="AI90" i="27"/>
  <c r="AI58" i="27"/>
  <c r="AI54" i="27"/>
  <c r="AI30" i="27"/>
  <c r="AI18" i="27"/>
  <c r="AI14" i="27"/>
  <c r="AI197" i="27"/>
  <c r="AI193" i="27"/>
  <c r="AI173" i="27"/>
  <c r="AI145" i="27"/>
  <c r="AI137" i="27"/>
  <c r="AI133" i="27"/>
  <c r="AI121" i="27"/>
  <c r="AI117" i="27"/>
  <c r="AI89" i="27"/>
  <c r="AI29" i="27"/>
  <c r="AI13" i="27"/>
  <c r="AI9" i="27"/>
  <c r="AI5" i="27"/>
  <c r="AK25" i="27"/>
  <c r="AS53" i="27"/>
  <c r="AI196" i="27"/>
  <c r="AI152" i="27"/>
  <c r="AI144" i="27"/>
  <c r="AI128" i="27"/>
  <c r="AI124" i="27"/>
  <c r="AI120" i="27"/>
  <c r="AI108" i="27"/>
  <c r="AI104" i="27"/>
  <c r="AI68" i="27"/>
  <c r="AI60" i="27"/>
  <c r="AI32" i="27"/>
  <c r="AI28" i="27"/>
  <c r="AI16" i="27"/>
  <c r="AI8" i="27"/>
  <c r="AI195" i="27"/>
  <c r="AI175" i="27"/>
  <c r="AI171" i="27"/>
  <c r="AK171" i="27" s="1"/>
  <c r="AI155" i="27"/>
  <c r="AI151" i="27"/>
  <c r="AI135" i="27"/>
  <c r="AI131" i="27"/>
  <c r="AI123" i="27"/>
  <c r="AI115" i="27"/>
  <c r="AI99" i="27"/>
  <c r="AI71" i="27"/>
  <c r="AI59" i="27"/>
  <c r="AI55" i="27"/>
  <c r="AI31" i="27"/>
  <c r="AI27" i="27"/>
  <c r="AI23" i="27"/>
  <c r="AI7" i="27"/>
  <c r="AI3" i="27"/>
  <c r="BD154" i="27"/>
  <c r="BD8" i="27"/>
  <c r="BD173" i="27"/>
  <c r="BD38" i="27"/>
  <c r="BD31" i="27"/>
  <c r="BD172" i="27"/>
  <c r="BD3" i="27"/>
  <c r="AG11" i="27"/>
  <c r="BD197" i="27"/>
  <c r="BD29" i="27"/>
  <c r="BD44" i="27"/>
  <c r="BD52" i="27"/>
  <c r="BD124" i="27"/>
  <c r="BD175" i="27"/>
  <c r="BD17" i="27"/>
  <c r="BD19" i="27"/>
  <c r="BD42" i="27"/>
  <c r="BD103" i="27"/>
  <c r="BD113" i="27"/>
  <c r="BD21" i="27"/>
  <c r="BD24" i="27"/>
  <c r="BD26" i="27"/>
  <c r="BD32" i="27"/>
  <c r="BD39" i="27"/>
  <c r="BD105" i="27"/>
  <c r="BD155" i="27"/>
  <c r="BD170" i="27"/>
  <c r="BD34" i="27"/>
  <c r="BD41" i="27"/>
  <c r="BD112" i="27"/>
  <c r="BD104" i="27"/>
  <c r="BD2" i="27"/>
  <c r="AG12" i="27"/>
  <c r="BD20" i="27"/>
  <c r="BD25" i="27"/>
  <c r="BD27" i="27"/>
  <c r="BD43" i="27"/>
  <c r="BD118" i="27"/>
  <c r="BD33" i="27"/>
  <c r="BD40" i="27"/>
  <c r="BD174" i="27"/>
  <c r="BD9" i="27"/>
  <c r="AH10" i="27"/>
  <c r="BD30" i="27"/>
  <c r="BD37" i="27"/>
  <c r="BD53" i="27"/>
  <c r="BD106" i="27"/>
  <c r="BD165" i="27"/>
  <c r="BD171" i="27"/>
  <c r="AH15" i="27"/>
  <c r="AH102" i="27"/>
  <c r="AG178" i="27"/>
  <c r="AK111" i="27"/>
  <c r="AX111" i="27" s="1"/>
  <c r="AG4" i="27"/>
  <c r="AG35" i="27"/>
  <c r="AG177" i="27"/>
  <c r="AG197" i="27"/>
  <c r="AH183" i="27"/>
  <c r="AH19" i="27"/>
  <c r="AG186" i="27"/>
  <c r="AG196" i="27"/>
  <c r="AG45" i="27"/>
  <c r="AH78" i="27"/>
  <c r="AH86" i="27"/>
  <c r="AH97" i="27"/>
  <c r="AM139" i="27"/>
  <c r="AY139" i="27" s="1"/>
  <c r="AG185" i="27"/>
  <c r="AG174" i="27"/>
  <c r="AH17" i="27"/>
  <c r="AG40" i="27"/>
  <c r="AG44" i="27"/>
  <c r="AG72" i="27"/>
  <c r="AH73" i="27"/>
  <c r="AH74" i="27"/>
  <c r="AH88" i="27"/>
  <c r="AG107" i="27"/>
  <c r="AH125" i="27"/>
  <c r="AH126" i="27"/>
  <c r="AK132" i="27"/>
  <c r="AX132" i="27" s="1"/>
  <c r="AK146" i="27"/>
  <c r="AX146" i="27" s="1"/>
  <c r="AH194" i="27"/>
  <c r="AG49" i="27"/>
  <c r="AH62" i="27"/>
  <c r="AH63" i="27"/>
  <c r="AG64" i="27"/>
  <c r="AG65" i="27"/>
  <c r="AG66" i="27"/>
  <c r="AG67" i="27"/>
  <c r="AG76" i="27"/>
  <c r="AG80" i="27"/>
  <c r="AH87" i="27"/>
  <c r="AK143" i="27"/>
  <c r="AX143" i="27" s="1"/>
  <c r="AH156" i="27"/>
  <c r="AH157" i="27"/>
  <c r="AH158" i="27"/>
  <c r="AH159" i="27"/>
  <c r="AG160" i="27"/>
  <c r="AG161" i="27"/>
  <c r="AH166" i="27"/>
  <c r="AH167" i="27"/>
  <c r="AG168" i="27"/>
  <c r="AG169" i="27"/>
  <c r="AH181" i="27"/>
  <c r="AG181" i="27"/>
  <c r="AG134" i="27"/>
  <c r="AG86" i="27"/>
  <c r="AG126" i="27"/>
  <c r="AG78" i="27"/>
  <c r="AG22" i="27"/>
  <c r="AH107" i="27"/>
  <c r="AH44" i="27"/>
  <c r="AH162" i="27"/>
  <c r="AG180" i="27"/>
  <c r="AH190" i="27"/>
  <c r="AG2" i="27"/>
  <c r="AG118" i="27"/>
  <c r="AG70" i="27"/>
  <c r="AG14" i="27"/>
  <c r="AH170" i="27"/>
  <c r="AH32" i="27"/>
  <c r="AH36" i="27"/>
  <c r="AH37" i="27"/>
  <c r="AH46" i="27"/>
  <c r="AH83" i="27"/>
  <c r="AH84" i="27"/>
  <c r="AH85" i="27"/>
  <c r="AH95" i="27"/>
  <c r="AG96" i="27"/>
  <c r="AG62" i="27"/>
  <c r="AG6" i="27"/>
  <c r="AH154" i="27"/>
  <c r="AG166" i="27"/>
  <c r="AG110" i="27"/>
  <c r="AH146" i="27"/>
  <c r="AH96" i="27"/>
  <c r="AG38" i="27"/>
  <c r="AG176" i="27"/>
  <c r="AG184" i="27"/>
  <c r="AG195" i="27"/>
  <c r="AG158" i="27"/>
  <c r="AG46" i="27"/>
  <c r="AH193" i="27"/>
  <c r="AH138" i="27"/>
  <c r="AH23" i="27"/>
  <c r="AM56" i="27"/>
  <c r="AY56" i="27" s="1"/>
  <c r="AG75" i="27"/>
  <c r="AH79" i="27"/>
  <c r="AG183" i="27"/>
  <c r="AG190" i="27"/>
  <c r="AG150" i="27"/>
  <c r="AG30" i="27"/>
  <c r="AH186" i="27"/>
  <c r="AH127" i="27"/>
  <c r="AH76" i="27"/>
  <c r="AH13" i="27"/>
  <c r="AG34" i="27"/>
  <c r="AH39" i="27"/>
  <c r="AG43" i="27"/>
  <c r="AH50" i="27"/>
  <c r="AH51" i="27"/>
  <c r="AH52" i="27"/>
  <c r="AH106" i="27"/>
  <c r="AH113" i="27"/>
  <c r="AM136" i="27"/>
  <c r="AY136" i="27" s="1"/>
  <c r="AH182" i="27"/>
  <c r="AG182" i="27"/>
  <c r="AG142" i="27"/>
  <c r="AG94" i="27"/>
  <c r="AH178" i="27"/>
  <c r="AH117" i="27"/>
  <c r="AH64" i="27"/>
  <c r="AH3" i="27"/>
  <c r="AH149" i="27"/>
  <c r="AG149" i="27"/>
  <c r="AH54" i="27"/>
  <c r="AS112" i="27"/>
  <c r="AQ112" i="27"/>
  <c r="AO112" i="27"/>
  <c r="AM112" i="27"/>
  <c r="AK112" i="27"/>
  <c r="AU112" i="27"/>
  <c r="AG77" i="27"/>
  <c r="AH77" i="27"/>
  <c r="AH20" i="27"/>
  <c r="AG20" i="27"/>
  <c r="AH91" i="27"/>
  <c r="AG91" i="27"/>
  <c r="AH101" i="27"/>
  <c r="AG101" i="27"/>
  <c r="AG116" i="27"/>
  <c r="AH116" i="27"/>
  <c r="AG102" i="27"/>
  <c r="AS24" i="27"/>
  <c r="AO24" i="27"/>
  <c r="AU24" i="27"/>
  <c r="AQ24" i="27"/>
  <c r="AK24" i="27"/>
  <c r="AM24" i="27"/>
  <c r="AH33" i="27"/>
  <c r="AG33" i="27"/>
  <c r="AM61" i="27"/>
  <c r="AY61" i="27" s="1"/>
  <c r="AH47" i="27"/>
  <c r="AG47" i="27"/>
  <c r="AH93" i="27"/>
  <c r="AG93" i="27"/>
  <c r="AH141" i="27"/>
  <c r="AG141" i="27"/>
  <c r="AH38" i="27"/>
  <c r="AG48" i="27"/>
  <c r="AG153" i="27"/>
  <c r="AG162" i="27"/>
  <c r="AG163" i="27"/>
  <c r="AH164" i="27"/>
  <c r="AH180" i="27"/>
  <c r="AH119" i="27"/>
  <c r="AG119" i="27"/>
  <c r="AH165" i="27"/>
  <c r="AG165" i="27"/>
  <c r="AG179" i="27"/>
  <c r="AH179" i="27"/>
  <c r="AG187" i="27"/>
  <c r="AH187" i="27"/>
  <c r="AH188" i="27"/>
  <c r="AG188" i="27"/>
  <c r="AH189" i="27"/>
  <c r="AG189" i="27"/>
  <c r="AH191" i="27"/>
  <c r="AG191" i="27"/>
  <c r="AG192" i="27"/>
  <c r="AH192" i="27"/>
  <c r="AH42" i="27"/>
  <c r="AU92" i="27"/>
  <c r="BC92" i="27" s="1"/>
  <c r="AM92" i="27"/>
  <c r="AY92" i="27" s="1"/>
  <c r="AS92" i="27"/>
  <c r="BB92" i="27" s="1"/>
  <c r="AS105" i="27"/>
  <c r="AQ105" i="27"/>
  <c r="AM105" i="27"/>
  <c r="AU105" i="27"/>
  <c r="AO105" i="27"/>
  <c r="AM142" i="27"/>
  <c r="AY142" i="27" s="1"/>
  <c r="AK142" i="27"/>
  <c r="AX142" i="27" s="1"/>
  <c r="AG175" i="27"/>
  <c r="AG167" i="27"/>
  <c r="AG159" i="27"/>
  <c r="AG151" i="27"/>
  <c r="AG143" i="27"/>
  <c r="AG135" i="27"/>
  <c r="AG127" i="27"/>
  <c r="AG111" i="27"/>
  <c r="AG95" i="27"/>
  <c r="AG87" i="27"/>
  <c r="AG79" i="27"/>
  <c r="AG71" i="27"/>
  <c r="AG63" i="27"/>
  <c r="AG55" i="27"/>
  <c r="AG39" i="27"/>
  <c r="AG31" i="27"/>
  <c r="AG15" i="27"/>
  <c r="AG7" i="27"/>
  <c r="AH163" i="27"/>
  <c r="AH155" i="27"/>
  <c r="AH147" i="27"/>
  <c r="AH139" i="27"/>
  <c r="AH128" i="27"/>
  <c r="AH108" i="27"/>
  <c r="AH99" i="27"/>
  <c r="AH67" i="27"/>
  <c r="AH45" i="27"/>
  <c r="AH35" i="27"/>
  <c r="AH4" i="27"/>
  <c r="AK136" i="27"/>
  <c r="AX136" i="27" s="1"/>
  <c r="AH41" i="27"/>
  <c r="AH81" i="27"/>
  <c r="AH82" i="27"/>
  <c r="AM100" i="27"/>
  <c r="AY100" i="27" s="1"/>
  <c r="AM111" i="27"/>
  <c r="AY111" i="27" s="1"/>
  <c r="AM140" i="27"/>
  <c r="AY140" i="27" s="1"/>
  <c r="AG173" i="27"/>
  <c r="AG157" i="27"/>
  <c r="AG133" i="27"/>
  <c r="AG125" i="27"/>
  <c r="AG109" i="27"/>
  <c r="AG85" i="27"/>
  <c r="AG69" i="27"/>
  <c r="AG61" i="27"/>
  <c r="AG37" i="27"/>
  <c r="AG29" i="27"/>
  <c r="AG21" i="27"/>
  <c r="AG5" i="27"/>
  <c r="AH185" i="27"/>
  <c r="AH177" i="27"/>
  <c r="AH169" i="27"/>
  <c r="AH161" i="27"/>
  <c r="AH153" i="27"/>
  <c r="AH145" i="27"/>
  <c r="AH136" i="27"/>
  <c r="AH75" i="27"/>
  <c r="AH43" i="27"/>
  <c r="AH22" i="27"/>
  <c r="AH12" i="27"/>
  <c r="AK56" i="27"/>
  <c r="AX56" i="27" s="1"/>
  <c r="AH26" i="27"/>
  <c r="AM110" i="27"/>
  <c r="AY110" i="27" s="1"/>
  <c r="AK110" i="27"/>
  <c r="AX110" i="27" s="1"/>
  <c r="AH129" i="27"/>
  <c r="AH130" i="27"/>
  <c r="AU172" i="27"/>
  <c r="AQ172" i="27"/>
  <c r="AG164" i="27"/>
  <c r="AG156" i="27"/>
  <c r="AG148" i="27"/>
  <c r="AG140" i="27"/>
  <c r="AG132" i="27"/>
  <c r="AG124" i="27"/>
  <c r="AG100" i="27"/>
  <c r="AG92" i="27"/>
  <c r="AG84" i="27"/>
  <c r="AG68" i="27"/>
  <c r="AG60" i="27"/>
  <c r="AG52" i="27"/>
  <c r="AG36" i="27"/>
  <c r="AG28" i="27"/>
  <c r="AH184" i="27"/>
  <c r="AH176" i="27"/>
  <c r="AH168" i="27"/>
  <c r="AH160" i="27"/>
  <c r="AH152" i="27"/>
  <c r="AH144" i="27"/>
  <c r="AH115" i="27"/>
  <c r="AH104" i="27"/>
  <c r="AH72" i="27"/>
  <c r="AH40" i="27"/>
  <c r="AH21" i="27"/>
  <c r="AH11" i="27"/>
  <c r="AK105" i="27"/>
  <c r="AK92" i="27"/>
  <c r="AX92" i="27" s="1"/>
  <c r="AM172" i="27"/>
  <c r="AS172" i="27"/>
  <c r="AH57" i="27"/>
  <c r="AK109" i="27"/>
  <c r="AX109" i="27" s="1"/>
  <c r="AM109" i="27"/>
  <c r="AY109" i="27" s="1"/>
  <c r="AQ132" i="27"/>
  <c r="BA132" i="27" s="1"/>
  <c r="AM132" i="27"/>
  <c r="AY132" i="27" s="1"/>
  <c r="AO132" i="27"/>
  <c r="AZ132" i="27" s="1"/>
  <c r="AM138" i="27"/>
  <c r="AY138" i="27" s="1"/>
  <c r="AM146" i="27"/>
  <c r="AY146" i="27" s="1"/>
  <c r="AG147" i="27"/>
  <c r="AG139" i="27"/>
  <c r="AG131" i="27"/>
  <c r="AG123" i="27"/>
  <c r="AG83" i="27"/>
  <c r="AG59" i="27"/>
  <c r="AG51" i="27"/>
  <c r="AG27" i="27"/>
  <c r="AG19" i="27"/>
  <c r="AH143" i="27"/>
  <c r="AH61" i="27"/>
  <c r="AH8" i="27"/>
  <c r="AK172" i="27"/>
  <c r="AK140" i="27"/>
  <c r="AX140" i="27" s="1"/>
  <c r="AM148" i="27"/>
  <c r="AY148" i="27" s="1"/>
  <c r="AU53" i="27"/>
  <c r="AQ53" i="27"/>
  <c r="AO53" i="27"/>
  <c r="AM53" i="27"/>
  <c r="AK53" i="27"/>
  <c r="AS103" i="27"/>
  <c r="AU103" i="27"/>
  <c r="AO103" i="27"/>
  <c r="AQ103" i="27"/>
  <c r="AH114" i="27"/>
  <c r="AG146" i="27"/>
  <c r="AG138" i="27"/>
  <c r="AG130" i="27"/>
  <c r="AG122" i="27"/>
  <c r="AG114" i="27"/>
  <c r="AG106" i="27"/>
  <c r="AG98" i="27"/>
  <c r="AG90" i="27"/>
  <c r="AG82" i="27"/>
  <c r="AG74" i="27"/>
  <c r="AG58" i="27"/>
  <c r="AG50" i="27"/>
  <c r="AG42" i="27"/>
  <c r="AG26" i="27"/>
  <c r="AG18" i="27"/>
  <c r="AG10" i="27"/>
  <c r="AH2" i="27"/>
  <c r="AH142" i="27"/>
  <c r="AH111" i="27"/>
  <c r="AH92" i="27"/>
  <c r="AH80" i="27"/>
  <c r="AH70" i="27"/>
  <c r="AH48" i="27"/>
  <c r="AK139" i="27"/>
  <c r="AX139" i="27" s="1"/>
  <c r="AK103" i="27"/>
  <c r="AM147" i="27"/>
  <c r="AY147" i="27" s="1"/>
  <c r="AM127" i="27"/>
  <c r="AY127" i="27" s="1"/>
  <c r="AK6" i="27"/>
  <c r="AX6" i="27" s="1"/>
  <c r="AM6" i="27"/>
  <c r="AY6" i="27" s="1"/>
  <c r="AK22" i="27"/>
  <c r="AX22" i="27" s="1"/>
  <c r="AM22" i="27"/>
  <c r="AY22" i="27" s="1"/>
  <c r="AM2" i="27"/>
  <c r="AK2" i="27"/>
  <c r="AM21" i="27"/>
  <c r="AS25" i="27"/>
  <c r="AO25" i="27"/>
  <c r="AQ25" i="27"/>
  <c r="AM25" i="27"/>
  <c r="AH34" i="27"/>
  <c r="AM70" i="27"/>
  <c r="AY70" i="27" s="1"/>
  <c r="AK70" i="27"/>
  <c r="AX70" i="27" s="1"/>
  <c r="AG137" i="27"/>
  <c r="AG129" i="27"/>
  <c r="AG121" i="27"/>
  <c r="AG113" i="27"/>
  <c r="AG97" i="27"/>
  <c r="AG89" i="27"/>
  <c r="AG81" i="27"/>
  <c r="AG73" i="27"/>
  <c r="AG57" i="27"/>
  <c r="AG41" i="27"/>
  <c r="AG17" i="27"/>
  <c r="AH132" i="27"/>
  <c r="AH120" i="27"/>
  <c r="AH110" i="27"/>
  <c r="AH69" i="27"/>
  <c r="AH16" i="27"/>
  <c r="AH6" i="27"/>
  <c r="AK148" i="27"/>
  <c r="AX148" i="27" s="1"/>
  <c r="AK138" i="27"/>
  <c r="AX138" i="27" s="1"/>
  <c r="AK127" i="27"/>
  <c r="AX127" i="27" s="1"/>
  <c r="AK100" i="27"/>
  <c r="AX100" i="27" s="1"/>
  <c r="AM103" i="27"/>
  <c r="AU25" i="27"/>
  <c r="AH9" i="27"/>
  <c r="AH49" i="27"/>
  <c r="AK61" i="27"/>
  <c r="AX61" i="27" s="1"/>
  <c r="AH65" i="27"/>
  <c r="AH66" i="27"/>
  <c r="AM69" i="27"/>
  <c r="AY69" i="27" s="1"/>
  <c r="AK69" i="27"/>
  <c r="AX69" i="27" s="1"/>
  <c r="AM143" i="27"/>
  <c r="AY143" i="27" s="1"/>
  <c r="AO171" i="27"/>
  <c r="AM171" i="27"/>
  <c r="AG136" i="27"/>
  <c r="AG88" i="27"/>
  <c r="AG56" i="27"/>
  <c r="AH148" i="27"/>
  <c r="AH140" i="27"/>
  <c r="AH109" i="27"/>
  <c r="AH100" i="27"/>
  <c r="AH56" i="27"/>
  <c r="AK147" i="27"/>
  <c r="AX147" i="27" s="1"/>
  <c r="AK21" i="27"/>
  <c r="AO172" i="27"/>
  <c r="C3" i="27"/>
  <c r="C6" i="27"/>
  <c r="C5" i="27"/>
  <c r="C4" i="27"/>
  <c r="AI114" i="10"/>
  <c r="AI58" i="10"/>
  <c r="AI50" i="10"/>
  <c r="AI137" i="10"/>
  <c r="AI65" i="10"/>
  <c r="AJ143" i="10"/>
  <c r="AJ88" i="10"/>
  <c r="AJ47" i="10"/>
  <c r="AI129" i="10"/>
  <c r="AJ135" i="10"/>
  <c r="AJ87" i="10"/>
  <c r="AJ41" i="10"/>
  <c r="AI121" i="10"/>
  <c r="AI57" i="10"/>
  <c r="AJ127" i="10"/>
  <c r="AJ81" i="10"/>
  <c r="AJ40" i="10"/>
  <c r="AJ121" i="10"/>
  <c r="AJ80" i="10"/>
  <c r="AJ39" i="10"/>
  <c r="AJ24" i="10"/>
  <c r="AI90" i="10"/>
  <c r="AI26" i="10"/>
  <c r="AJ105" i="10"/>
  <c r="AJ64" i="10"/>
  <c r="AJ23" i="10"/>
  <c r="AI97" i="10"/>
  <c r="AI33" i="10"/>
  <c r="AJ111" i="10"/>
  <c r="AJ65" i="10"/>
  <c r="AI89" i="10"/>
  <c r="AI25" i="10"/>
  <c r="AJ104" i="10"/>
  <c r="AJ63" i="10"/>
  <c r="AJ17" i="10"/>
  <c r="AI3" i="10"/>
  <c r="AI82" i="10"/>
  <c r="AI18" i="10"/>
  <c r="AJ103" i="10"/>
  <c r="AJ57" i="10"/>
  <c r="AJ16" i="10"/>
  <c r="AI169" i="10"/>
  <c r="AI113" i="10"/>
  <c r="AI81" i="10"/>
  <c r="AI49" i="10"/>
  <c r="AI17" i="10"/>
  <c r="AJ120" i="10"/>
  <c r="AJ97" i="10"/>
  <c r="AJ79" i="10"/>
  <c r="AJ56" i="10"/>
  <c r="AJ33" i="10"/>
  <c r="AJ15" i="10"/>
  <c r="AI161" i="10"/>
  <c r="AI106" i="10"/>
  <c r="AI74" i="10"/>
  <c r="AI42" i="10"/>
  <c r="AI10" i="10"/>
  <c r="AJ119" i="10"/>
  <c r="AJ96" i="10"/>
  <c r="AJ73" i="10"/>
  <c r="AJ55" i="10"/>
  <c r="AJ32" i="10"/>
  <c r="AJ9" i="10"/>
  <c r="AI153" i="10"/>
  <c r="AI105" i="10"/>
  <c r="AI73" i="10"/>
  <c r="AI41" i="10"/>
  <c r="AI9" i="10"/>
  <c r="AJ113" i="10"/>
  <c r="AJ95" i="10"/>
  <c r="AJ72" i="10"/>
  <c r="AJ49" i="10"/>
  <c r="AJ31" i="10"/>
  <c r="AJ8" i="10"/>
  <c r="AI145" i="10"/>
  <c r="AI98" i="10"/>
  <c r="AI66" i="10"/>
  <c r="AI34" i="10"/>
  <c r="AJ151" i="10"/>
  <c r="AJ112" i="10"/>
  <c r="AJ89" i="10"/>
  <c r="AJ71" i="10"/>
  <c r="AJ48" i="10"/>
  <c r="AJ25" i="10"/>
  <c r="AJ7" i="10"/>
  <c r="N5" i="14"/>
  <c r="N7" i="14"/>
  <c r="N9" i="14"/>
  <c r="AI173" i="10"/>
  <c r="AI165" i="10"/>
  <c r="AI157" i="10"/>
  <c r="AI149" i="10"/>
  <c r="AI141" i="10"/>
  <c r="AI133" i="10"/>
  <c r="AI125" i="10"/>
  <c r="AI117" i="10"/>
  <c r="AI109" i="10"/>
  <c r="AI101" i="10"/>
  <c r="AI93" i="10"/>
  <c r="AI85" i="10"/>
  <c r="AI77" i="10"/>
  <c r="AI69" i="10"/>
  <c r="AI61" i="10"/>
  <c r="AI53" i="10"/>
  <c r="AI45" i="10"/>
  <c r="AI37" i="10"/>
  <c r="AI29" i="10"/>
  <c r="AI21" i="10"/>
  <c r="AI13" i="10"/>
  <c r="AI5" i="10"/>
  <c r="AJ171" i="10"/>
  <c r="AJ163" i="10"/>
  <c r="AJ155" i="10"/>
  <c r="AJ147" i="10"/>
  <c r="AJ139" i="10"/>
  <c r="AJ131" i="10"/>
  <c r="AJ123" i="10"/>
  <c r="AJ115" i="10"/>
  <c r="AJ107" i="10"/>
  <c r="AJ99" i="10"/>
  <c r="AJ91" i="10"/>
  <c r="AJ83" i="10"/>
  <c r="AJ75" i="10"/>
  <c r="AJ67" i="10"/>
  <c r="AJ59" i="10"/>
  <c r="AJ51" i="10"/>
  <c r="AJ43" i="10"/>
  <c r="AJ35" i="10"/>
  <c r="AJ27" i="10"/>
  <c r="AJ19" i="10"/>
  <c r="AJ11" i="10"/>
  <c r="AI172" i="10"/>
  <c r="AI164" i="10"/>
  <c r="AI156" i="10"/>
  <c r="AI148" i="10"/>
  <c r="AI140" i="10"/>
  <c r="AI132" i="10"/>
  <c r="AI124" i="10"/>
  <c r="AI116" i="10"/>
  <c r="AI108" i="10"/>
  <c r="AI100" i="10"/>
  <c r="AI92" i="10"/>
  <c r="AI84" i="10"/>
  <c r="AI76" i="10"/>
  <c r="AI68" i="10"/>
  <c r="AI60" i="10"/>
  <c r="AI52" i="10"/>
  <c r="AI44" i="10"/>
  <c r="AI36" i="10"/>
  <c r="AI28" i="10"/>
  <c r="AI20" i="10"/>
  <c r="AI12" i="10"/>
  <c r="AI4" i="10"/>
  <c r="AJ170" i="10"/>
  <c r="AJ162" i="10"/>
  <c r="AJ154" i="10"/>
  <c r="AJ146" i="10"/>
  <c r="AJ138" i="10"/>
  <c r="AJ130" i="10"/>
  <c r="AJ122" i="10"/>
  <c r="AJ114" i="10"/>
  <c r="AJ106" i="10"/>
  <c r="AJ98" i="10"/>
  <c r="AJ90" i="10"/>
  <c r="AJ82" i="10"/>
  <c r="AJ74" i="10"/>
  <c r="AJ66" i="10"/>
  <c r="AJ58" i="10"/>
  <c r="AJ50" i="10"/>
  <c r="AJ42" i="10"/>
  <c r="AJ34" i="10"/>
  <c r="AJ26" i="10"/>
  <c r="AJ18" i="10"/>
  <c r="AJ10" i="10"/>
  <c r="AI171" i="10"/>
  <c r="AI163" i="10"/>
  <c r="AI155" i="10"/>
  <c r="AI147" i="10"/>
  <c r="AI139" i="10"/>
  <c r="AI131" i="10"/>
  <c r="AI123" i="10"/>
  <c r="AI115" i="10"/>
  <c r="AI107" i="10"/>
  <c r="AI99" i="10"/>
  <c r="AI91" i="10"/>
  <c r="AI83" i="10"/>
  <c r="AI75" i="10"/>
  <c r="AI67" i="10"/>
  <c r="AI59" i="10"/>
  <c r="AI51" i="10"/>
  <c r="AI43" i="10"/>
  <c r="AI35" i="10"/>
  <c r="AI27" i="10"/>
  <c r="AI19" i="10"/>
  <c r="AI11" i="10"/>
  <c r="AJ3" i="10"/>
  <c r="AJ169" i="10"/>
  <c r="AJ161" i="10"/>
  <c r="AJ153" i="10"/>
  <c r="AJ145" i="10"/>
  <c r="AJ137" i="10"/>
  <c r="AJ129" i="10"/>
  <c r="AI170" i="10"/>
  <c r="AI162" i="10"/>
  <c r="AI154" i="10"/>
  <c r="AI146" i="10"/>
  <c r="AI138" i="10"/>
  <c r="AI130" i="10"/>
  <c r="AI122" i="10"/>
  <c r="AJ176" i="10"/>
  <c r="AJ168" i="10"/>
  <c r="AJ160" i="10"/>
  <c r="AJ152" i="10"/>
  <c r="AJ144" i="10"/>
  <c r="AJ136" i="10"/>
  <c r="AJ128" i="10"/>
  <c r="AJ167" i="10"/>
  <c r="AI176" i="10"/>
  <c r="AI168" i="10"/>
  <c r="AI160" i="10"/>
  <c r="AI152" i="10"/>
  <c r="AI144" i="10"/>
  <c r="AI136" i="10"/>
  <c r="AI128" i="10"/>
  <c r="AI120" i="10"/>
  <c r="AI112" i="10"/>
  <c r="AI104" i="10"/>
  <c r="AI96" i="10"/>
  <c r="AI88" i="10"/>
  <c r="AI80" i="10"/>
  <c r="AI72" i="10"/>
  <c r="AI64" i="10"/>
  <c r="AI56" i="10"/>
  <c r="AI48" i="10"/>
  <c r="AI40" i="10"/>
  <c r="AI32" i="10"/>
  <c r="AI24" i="10"/>
  <c r="AI16" i="10"/>
  <c r="AI8" i="10"/>
  <c r="AJ174" i="10"/>
  <c r="AJ166" i="10"/>
  <c r="AJ158" i="10"/>
  <c r="AJ150" i="10"/>
  <c r="AJ142" i="10"/>
  <c r="AJ134" i="10"/>
  <c r="AJ126" i="10"/>
  <c r="AJ118" i="10"/>
  <c r="AJ110" i="10"/>
  <c r="AJ102" i="10"/>
  <c r="AJ94" i="10"/>
  <c r="AJ86" i="10"/>
  <c r="AJ78" i="10"/>
  <c r="AJ70" i="10"/>
  <c r="AJ62" i="10"/>
  <c r="AJ54" i="10"/>
  <c r="AJ46" i="10"/>
  <c r="AJ38" i="10"/>
  <c r="AJ30" i="10"/>
  <c r="AJ22" i="10"/>
  <c r="AJ14" i="10"/>
  <c r="AJ6" i="10"/>
  <c r="AI175" i="10"/>
  <c r="AI167" i="10"/>
  <c r="AI159" i="10"/>
  <c r="AI151" i="10"/>
  <c r="AI143" i="10"/>
  <c r="AI135" i="10"/>
  <c r="AI127" i="10"/>
  <c r="AI119" i="10"/>
  <c r="AI111" i="10"/>
  <c r="AI103" i="10"/>
  <c r="AI95" i="10"/>
  <c r="AI87" i="10"/>
  <c r="AI79" i="10"/>
  <c r="AI71" i="10"/>
  <c r="AI63" i="10"/>
  <c r="AI55" i="10"/>
  <c r="AI47" i="10"/>
  <c r="AI39" i="10"/>
  <c r="AI31" i="10"/>
  <c r="AI23" i="10"/>
  <c r="AI15" i="10"/>
  <c r="AI7" i="10"/>
  <c r="AJ173" i="10"/>
  <c r="AJ165" i="10"/>
  <c r="AJ157" i="10"/>
  <c r="AJ149" i="10"/>
  <c r="AJ141" i="10"/>
  <c r="AJ133" i="10"/>
  <c r="AJ125" i="10"/>
  <c r="AJ117" i="10"/>
  <c r="AJ109" i="10"/>
  <c r="AJ101" i="10"/>
  <c r="AJ93" i="10"/>
  <c r="AJ85" i="10"/>
  <c r="AJ77" i="10"/>
  <c r="AJ69" i="10"/>
  <c r="AJ61" i="10"/>
  <c r="AJ53" i="10"/>
  <c r="AJ45" i="10"/>
  <c r="AJ37" i="10"/>
  <c r="AJ29" i="10"/>
  <c r="AJ21" i="10"/>
  <c r="AJ13" i="10"/>
  <c r="AJ5" i="10"/>
  <c r="AJ175" i="10"/>
  <c r="AJ159" i="10"/>
  <c r="AI174" i="10"/>
  <c r="AI166" i="10"/>
  <c r="AI158" i="10"/>
  <c r="AI150" i="10"/>
  <c r="AI142" i="10"/>
  <c r="AI134" i="10"/>
  <c r="AI126" i="10"/>
  <c r="AI118" i="10"/>
  <c r="AI110" i="10"/>
  <c r="AI102" i="10"/>
  <c r="AI94" i="10"/>
  <c r="AI86" i="10"/>
  <c r="AI78" i="10"/>
  <c r="AI70" i="10"/>
  <c r="AI62" i="10"/>
  <c r="AI54" i="10"/>
  <c r="AI46" i="10"/>
  <c r="AI38" i="10"/>
  <c r="AI30" i="10"/>
  <c r="AI22" i="10"/>
  <c r="AI14" i="10"/>
  <c r="AI6" i="10"/>
  <c r="AJ172" i="10"/>
  <c r="AJ164" i="10"/>
  <c r="AJ156" i="10"/>
  <c r="AJ148" i="10"/>
  <c r="AJ140" i="10"/>
  <c r="AJ132" i="10"/>
  <c r="AJ124" i="10"/>
  <c r="AJ116" i="10"/>
  <c r="AJ108" i="10"/>
  <c r="AJ100" i="10"/>
  <c r="AJ92" i="10"/>
  <c r="AJ84" i="10"/>
  <c r="AJ76" i="10"/>
  <c r="AJ68" i="10"/>
  <c r="AJ60" i="10"/>
  <c r="AJ52" i="10"/>
  <c r="AJ44" i="10"/>
  <c r="AJ36" i="10"/>
  <c r="AJ28" i="10"/>
  <c r="AJ20" i="10"/>
  <c r="AJ12" i="10"/>
  <c r="AJ4" i="10"/>
  <c r="N4" i="14"/>
  <c r="N8" i="14"/>
  <c r="N10" i="14"/>
  <c r="N6" i="14"/>
  <c r="S36" i="14"/>
  <c r="AR171" i="7"/>
  <c r="AP171" i="7"/>
  <c r="AQ171" i="7"/>
  <c r="AR172" i="7"/>
  <c r="AP172" i="7"/>
  <c r="AQ172" i="7"/>
  <c r="AN113" i="7"/>
  <c r="B89" i="7"/>
  <c r="B90" i="7" s="1"/>
  <c r="B91" i="7" s="1"/>
  <c r="B92" i="7"/>
  <c r="B93" i="7" s="1"/>
  <c r="B94" i="7"/>
  <c r="B95" i="7"/>
  <c r="B96" i="7" s="1"/>
  <c r="B97" i="7"/>
  <c r="B98" i="7" s="1"/>
  <c r="B99" i="7"/>
  <c r="B100" i="7"/>
  <c r="B101" i="7" s="1"/>
  <c r="B102" i="7"/>
  <c r="B103" i="7"/>
  <c r="B106" i="7"/>
  <c r="B107" i="7" s="1"/>
  <c r="B108" i="7" s="1"/>
  <c r="B109" i="7"/>
  <c r="B110" i="7" s="1"/>
  <c r="B111" i="7" s="1"/>
  <c r="B112" i="7" s="1"/>
  <c r="B113" i="7" s="1"/>
  <c r="B114" i="7"/>
  <c r="B115" i="7" s="1"/>
  <c r="B116" i="7" s="1"/>
  <c r="B117" i="7" s="1"/>
  <c r="B118" i="7" s="1"/>
  <c r="B119" i="7" s="1"/>
  <c r="B120" i="7"/>
  <c r="B121" i="7" s="1"/>
  <c r="B122" i="7"/>
  <c r="B123" i="7" s="1"/>
  <c r="B124" i="7" s="1"/>
  <c r="B125" i="7"/>
  <c r="B126" i="7" s="1"/>
  <c r="B127" i="7"/>
  <c r="B128" i="7" s="1"/>
  <c r="B129" i="7" s="1"/>
  <c r="B130" i="7"/>
  <c r="B131" i="7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/>
  <c r="B152" i="7" s="1"/>
  <c r="B153" i="7" s="1"/>
  <c r="B154" i="7"/>
  <c r="B155" i="7" s="1"/>
  <c r="B156" i="7"/>
  <c r="B157" i="7" s="1"/>
  <c r="B158" i="7" s="1"/>
  <c r="B159" i="7" s="1"/>
  <c r="B160" i="7" s="1"/>
  <c r="B161" i="7" s="1"/>
  <c r="B162" i="7"/>
  <c r="B163" i="7" s="1"/>
  <c r="B164" i="7" s="1"/>
  <c r="B165" i="7"/>
  <c r="B166" i="7"/>
  <c r="B167" i="7" s="1"/>
  <c r="B168" i="7" s="1"/>
  <c r="B169" i="7" s="1"/>
  <c r="AM105" i="7"/>
  <c r="AM103" i="7"/>
  <c r="BO197" i="7"/>
  <c r="BO196" i="7"/>
  <c r="BO195" i="7"/>
  <c r="BO194" i="7"/>
  <c r="BO193" i="7"/>
  <c r="BO192" i="7"/>
  <c r="BO191" i="7"/>
  <c r="BO190" i="7"/>
  <c r="BO189" i="7"/>
  <c r="BO188" i="7"/>
  <c r="BO175" i="7"/>
  <c r="BO174" i="7"/>
  <c r="BO173" i="7"/>
  <c r="BO170" i="7"/>
  <c r="BO169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0" i="7"/>
  <c r="BO149" i="7"/>
  <c r="BO148" i="7"/>
  <c r="BO147" i="7"/>
  <c r="BO146" i="7"/>
  <c r="BO145" i="7"/>
  <c r="BO144" i="7"/>
  <c r="BO143" i="7"/>
  <c r="BO142" i="7"/>
  <c r="BO141" i="7"/>
  <c r="BO140" i="7"/>
  <c r="BO139" i="7"/>
  <c r="BO138" i="7"/>
  <c r="BO137" i="7"/>
  <c r="BO136" i="7"/>
  <c r="BO135" i="7"/>
  <c r="BO134" i="7"/>
  <c r="BO133" i="7"/>
  <c r="BO132" i="7"/>
  <c r="BO131" i="7"/>
  <c r="BO130" i="7"/>
  <c r="BO129" i="7"/>
  <c r="BO128" i="7"/>
  <c r="BO127" i="7"/>
  <c r="BO126" i="7"/>
  <c r="BO125" i="7"/>
  <c r="BO124" i="7"/>
  <c r="BO123" i="7"/>
  <c r="BO122" i="7"/>
  <c r="BO121" i="7"/>
  <c r="BO120" i="7"/>
  <c r="BO113" i="7"/>
  <c r="BO112" i="7"/>
  <c r="BO111" i="7"/>
  <c r="BO110" i="7"/>
  <c r="BO109" i="7"/>
  <c r="BO108" i="7"/>
  <c r="BO107" i="7"/>
  <c r="BO106" i="7"/>
  <c r="BO105" i="7"/>
  <c r="BO104" i="7"/>
  <c r="BO103" i="7"/>
  <c r="BO102" i="7"/>
  <c r="BO101" i="7"/>
  <c r="BO100" i="7"/>
  <c r="BO98" i="7"/>
  <c r="BO97" i="7"/>
  <c r="BO96" i="7"/>
  <c r="BO95" i="7"/>
  <c r="BO94" i="7"/>
  <c r="BO93" i="7"/>
  <c r="BO92" i="7"/>
  <c r="BO88" i="7"/>
  <c r="BO87" i="7"/>
  <c r="BO86" i="7"/>
  <c r="BO85" i="7"/>
  <c r="BO84" i="7"/>
  <c r="BO83" i="7"/>
  <c r="BO82" i="7"/>
  <c r="BO80" i="7"/>
  <c r="BO79" i="7"/>
  <c r="BO78" i="7"/>
  <c r="BO77" i="7"/>
  <c r="BO76" i="7"/>
  <c r="BO75" i="7"/>
  <c r="BO74" i="7"/>
  <c r="BO73" i="7"/>
  <c r="BO72" i="7"/>
  <c r="BO71" i="7"/>
  <c r="BO70" i="7"/>
  <c r="BO69" i="7"/>
  <c r="BO68" i="7"/>
  <c r="BO67" i="7"/>
  <c r="BO66" i="7"/>
  <c r="BO65" i="7"/>
  <c r="BO64" i="7"/>
  <c r="BO63" i="7"/>
  <c r="BO62" i="7"/>
  <c r="BO61" i="7"/>
  <c r="BO60" i="7"/>
  <c r="BO59" i="7"/>
  <c r="BO52" i="7"/>
  <c r="BO51" i="7"/>
  <c r="BO44" i="7"/>
  <c r="BO43" i="7"/>
  <c r="BO42" i="7"/>
  <c r="BO41" i="7"/>
  <c r="BO40" i="7"/>
  <c r="BO39" i="7"/>
  <c r="BO38" i="7"/>
  <c r="BO37" i="7"/>
  <c r="BO27" i="7"/>
  <c r="BO26" i="7"/>
  <c r="BO25" i="7"/>
  <c r="BO24" i="7"/>
  <c r="BO23" i="7"/>
  <c r="BO22" i="7"/>
  <c r="BO21" i="7"/>
  <c r="BO20" i="7"/>
  <c r="BO19" i="7"/>
  <c r="BO18" i="7"/>
  <c r="BO17" i="7"/>
  <c r="BO16" i="7"/>
  <c r="BO15" i="7"/>
  <c r="BO14" i="7"/>
  <c r="BO13" i="7"/>
  <c r="BO12" i="7"/>
  <c r="BO11" i="7"/>
  <c r="BO10" i="7"/>
  <c r="BO9" i="7"/>
  <c r="BO8" i="7"/>
  <c r="BO7" i="7"/>
  <c r="BO6" i="7"/>
  <c r="BO5" i="7"/>
  <c r="BO4" i="7"/>
  <c r="BO3" i="7"/>
  <c r="BO2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3" i="7"/>
  <c r="AE152" i="7"/>
  <c r="AE151" i="7"/>
  <c r="AE149" i="7"/>
  <c r="AE148" i="7"/>
  <c r="AE147" i="7"/>
  <c r="AE145" i="7"/>
  <c r="AE144" i="7"/>
  <c r="AE143" i="7"/>
  <c r="AE141" i="7"/>
  <c r="AE140" i="7"/>
  <c r="AE139" i="7"/>
  <c r="AE137" i="7"/>
  <c r="AE136" i="7"/>
  <c r="AE135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7" i="7"/>
  <c r="AE86" i="7"/>
  <c r="AE83" i="7"/>
  <c r="AE82" i="7"/>
  <c r="AE81" i="7"/>
  <c r="AE80" i="7"/>
  <c r="AE79" i="7"/>
  <c r="AE78" i="7"/>
  <c r="AE77" i="7"/>
  <c r="AE76" i="7"/>
  <c r="AE75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0" i="7"/>
  <c r="AE49" i="7"/>
  <c r="AE48" i="7"/>
  <c r="AE47" i="7"/>
  <c r="AE46" i="7"/>
  <c r="AE45" i="7"/>
  <c r="AE44" i="7"/>
  <c r="AE43" i="7"/>
  <c r="AE40" i="7"/>
  <c r="AE39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2" i="7"/>
  <c r="AE11" i="7"/>
  <c r="AE10" i="7"/>
  <c r="AE9" i="7"/>
  <c r="AE8" i="7"/>
  <c r="AE7" i="7"/>
  <c r="AE6" i="7"/>
  <c r="AE5" i="7"/>
  <c r="AE4" i="7"/>
  <c r="AE3" i="7"/>
  <c r="AE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4" i="7"/>
  <c r="AC153" i="7"/>
  <c r="AC151" i="7"/>
  <c r="AC148" i="7"/>
  <c r="AC147" i="7"/>
  <c r="AC144" i="7"/>
  <c r="AC143" i="7"/>
  <c r="AC140" i="7"/>
  <c r="AC139" i="7"/>
  <c r="AC136" i="7"/>
  <c r="AC135" i="7"/>
  <c r="AC132" i="7"/>
  <c r="AC131" i="7"/>
  <c r="AC130" i="7"/>
  <c r="AC129" i="7"/>
  <c r="AC128" i="7"/>
  <c r="AC127" i="7"/>
  <c r="AC126" i="7"/>
  <c r="AC125" i="7"/>
  <c r="AC124" i="7"/>
  <c r="AC123" i="7"/>
  <c r="AC122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AC100" i="7"/>
  <c r="AC99" i="7"/>
  <c r="AC98" i="7"/>
  <c r="AC97" i="7"/>
  <c r="AC96" i="7"/>
  <c r="AC95" i="7"/>
  <c r="AC94" i="7"/>
  <c r="AC93" i="7"/>
  <c r="AC92" i="7"/>
  <c r="AC91" i="7"/>
  <c r="AC90" i="7"/>
  <c r="AC89" i="7"/>
  <c r="AC87" i="7"/>
  <c r="AC86" i="7"/>
  <c r="B4" i="7"/>
  <c r="B5" i="7"/>
  <c r="B6" i="7" s="1"/>
  <c r="B7" i="7" s="1"/>
  <c r="B8" i="7"/>
  <c r="B9" i="7" s="1"/>
  <c r="B10" i="7"/>
  <c r="B13" i="7"/>
  <c r="B15" i="7"/>
  <c r="B16" i="7"/>
  <c r="B17" i="7" s="1"/>
  <c r="B18" i="7"/>
  <c r="B19" i="7" s="1"/>
  <c r="B20" i="7"/>
  <c r="B21" i="7" s="1"/>
  <c r="B22" i="7" s="1"/>
  <c r="B23" i="7" s="1"/>
  <c r="B24" i="7" s="1"/>
  <c r="B25" i="7" s="1"/>
  <c r="B26" i="7" s="1"/>
  <c r="B27" i="7" s="1"/>
  <c r="B28" i="7"/>
  <c r="B29" i="7"/>
  <c r="B30" i="7" s="1"/>
  <c r="B31" i="7" s="1"/>
  <c r="B32" i="7" s="1"/>
  <c r="B33" i="7" s="1"/>
  <c r="B34" i="7" s="1"/>
  <c r="B35" i="7" s="1"/>
  <c r="B36" i="7" s="1"/>
  <c r="B37" i="7"/>
  <c r="B38" i="7" s="1"/>
  <c r="B39" i="7" s="1"/>
  <c r="B40" i="7" s="1"/>
  <c r="B41" i="7" s="1"/>
  <c r="B42" i="7" s="1"/>
  <c r="B43" i="7" s="1"/>
  <c r="B44" i="7" s="1"/>
  <c r="B45" i="7"/>
  <c r="B46" i="7" s="1"/>
  <c r="B47" i="7" s="1"/>
  <c r="B48" i="7" s="1"/>
  <c r="B49" i="7" s="1"/>
  <c r="B50" i="7" s="1"/>
  <c r="B51" i="7"/>
  <c r="B52" i="7" s="1"/>
  <c r="B53" i="7"/>
  <c r="B54" i="7" s="1"/>
  <c r="B55" i="7" s="1"/>
  <c r="B56" i="7" s="1"/>
  <c r="B57" i="7"/>
  <c r="B58" i="7" s="1"/>
  <c r="B59" i="7" s="1"/>
  <c r="B60" i="7"/>
  <c r="B61" i="7" s="1"/>
  <c r="B62" i="7"/>
  <c r="B63" i="7" s="1"/>
  <c r="B64" i="7" s="1"/>
  <c r="B65" i="7" s="1"/>
  <c r="B66" i="7" s="1"/>
  <c r="B67" i="7" s="1"/>
  <c r="B68" i="7"/>
  <c r="B69" i="7" s="1"/>
  <c r="B70" i="7" s="1"/>
  <c r="B71" i="7" s="1"/>
  <c r="B72" i="7" s="1"/>
  <c r="B73" i="7" s="1"/>
  <c r="B74" i="7" s="1"/>
  <c r="B75" i="7"/>
  <c r="B76" i="7" s="1"/>
  <c r="B77" i="7" s="1"/>
  <c r="B78" i="7" s="1"/>
  <c r="B79" i="7" s="1"/>
  <c r="B80" i="7" s="1"/>
  <c r="B81" i="7"/>
  <c r="B82" i="7"/>
  <c r="B83" i="7" s="1"/>
  <c r="B84" i="7" s="1"/>
  <c r="B85" i="7" s="1"/>
  <c r="B86" i="7"/>
  <c r="B87" i="7" s="1"/>
  <c r="B88" i="7"/>
  <c r="AQ112" i="7"/>
  <c r="AQ103" i="7"/>
  <c r="AQ105" i="7"/>
  <c r="AQ53" i="7"/>
  <c r="AQ24" i="7"/>
  <c r="AQ25" i="7"/>
  <c r="AP103" i="7"/>
  <c r="AP105" i="7"/>
  <c r="AP112" i="7"/>
  <c r="AP24" i="7"/>
  <c r="AP25" i="7"/>
  <c r="AP53" i="7"/>
  <c r="AO197" i="7"/>
  <c r="AM197" i="7"/>
  <c r="AN197" i="7" s="1"/>
  <c r="BJ155" i="7"/>
  <c r="BI155" i="7"/>
  <c r="BH155" i="7"/>
  <c r="BG155" i="7"/>
  <c r="AO155" i="7"/>
  <c r="AN155" i="7"/>
  <c r="AP155" i="7" s="1"/>
  <c r="H155" i="7"/>
  <c r="AN86" i="7"/>
  <c r="AN87" i="7"/>
  <c r="AN88" i="7"/>
  <c r="AN80" i="7"/>
  <c r="AN81" i="7"/>
  <c r="AN82" i="7"/>
  <c r="AN83" i="7"/>
  <c r="AN84" i="7"/>
  <c r="AN85" i="7"/>
  <c r="AO121" i="7"/>
  <c r="AR121" i="7" s="1"/>
  <c r="H121" i="7"/>
  <c r="AO11" i="7"/>
  <c r="B17" i="25"/>
  <c r="G14" i="25" s="1"/>
  <c r="G15" i="25" s="1"/>
  <c r="G8" i="25"/>
  <c r="B4" i="25"/>
  <c r="AS171" i="27" l="1"/>
  <c r="AQ171" i="27"/>
  <c r="AU171" i="27"/>
  <c r="AM160" i="27"/>
  <c r="AY160" i="27" s="1"/>
  <c r="AK160" i="27"/>
  <c r="AX160" i="27" s="1"/>
  <c r="AQ153" i="27"/>
  <c r="BA153" i="27" s="1"/>
  <c r="AO153" i="27"/>
  <c r="AZ153" i="27" s="1"/>
  <c r="AM153" i="27"/>
  <c r="AY153" i="27" s="1"/>
  <c r="AK153" i="27"/>
  <c r="AX153" i="27" s="1"/>
  <c r="AM161" i="27"/>
  <c r="AY161" i="27" s="1"/>
  <c r="AK161" i="27"/>
  <c r="AX161" i="27" s="1"/>
  <c r="AK118" i="27"/>
  <c r="AM118" i="27"/>
  <c r="AM89" i="27"/>
  <c r="AY89" i="27" s="1"/>
  <c r="AK89" i="27"/>
  <c r="AX89" i="27" s="1"/>
  <c r="AM35" i="27"/>
  <c r="AY35" i="27" s="1"/>
  <c r="AK35" i="27"/>
  <c r="AX35" i="27" s="1"/>
  <c r="AK62" i="27"/>
  <c r="AX62" i="27" s="1"/>
  <c r="AM62" i="27"/>
  <c r="AY62" i="27" s="1"/>
  <c r="AM28" i="27"/>
  <c r="AY28" i="27" s="1"/>
  <c r="AK28" i="27"/>
  <c r="AX28" i="27" s="1"/>
  <c r="AM60" i="27"/>
  <c r="AY60" i="27" s="1"/>
  <c r="AK60" i="27"/>
  <c r="AX60" i="27" s="1"/>
  <c r="AM177" i="27"/>
  <c r="AY177" i="27" s="1"/>
  <c r="AK177" i="27"/>
  <c r="AX177" i="27" s="1"/>
  <c r="AM123" i="27"/>
  <c r="AY123" i="27" s="1"/>
  <c r="AK123" i="27"/>
  <c r="AX123" i="27" s="1"/>
  <c r="AK125" i="27"/>
  <c r="AX125" i="27" s="1"/>
  <c r="AM125" i="27"/>
  <c r="AY125" i="27" s="1"/>
  <c r="AM15" i="27"/>
  <c r="AY15" i="27" s="1"/>
  <c r="AK15" i="27"/>
  <c r="AX15" i="27" s="1"/>
  <c r="AQ131" i="27"/>
  <c r="BA131" i="27" s="1"/>
  <c r="AM131" i="27"/>
  <c r="AY131" i="27" s="1"/>
  <c r="AK131" i="27"/>
  <c r="AX131" i="27" s="1"/>
  <c r="AO131" i="27"/>
  <c r="AZ131" i="27" s="1"/>
  <c r="AM108" i="27"/>
  <c r="AY108" i="27" s="1"/>
  <c r="AK108" i="27"/>
  <c r="AX108" i="27" s="1"/>
  <c r="AM180" i="27"/>
  <c r="AY180" i="27" s="1"/>
  <c r="AK180" i="27"/>
  <c r="AX180" i="27" s="1"/>
  <c r="AM81" i="27"/>
  <c r="AY81" i="27" s="1"/>
  <c r="AK81" i="27"/>
  <c r="AX81" i="27" s="1"/>
  <c r="AM72" i="27"/>
  <c r="AY72" i="27" s="1"/>
  <c r="AK72" i="27"/>
  <c r="AX72" i="27" s="1"/>
  <c r="AQ76" i="27"/>
  <c r="BA76" i="27" s="1"/>
  <c r="AO76" i="27"/>
  <c r="AZ76" i="27" s="1"/>
  <c r="AM76" i="27"/>
  <c r="AY76" i="27" s="1"/>
  <c r="AK76" i="27"/>
  <c r="AX76" i="27" s="1"/>
  <c r="AM9" i="27"/>
  <c r="AK9" i="27"/>
  <c r="AM130" i="27"/>
  <c r="AY130" i="27" s="1"/>
  <c r="AK130" i="27"/>
  <c r="AX130" i="27" s="1"/>
  <c r="AK91" i="27"/>
  <c r="AX91" i="27" s="1"/>
  <c r="AM91" i="27"/>
  <c r="AY91" i="27" s="1"/>
  <c r="AM17" i="27"/>
  <c r="AK17" i="27"/>
  <c r="AM23" i="27"/>
  <c r="AY23" i="27" s="1"/>
  <c r="AK23" i="27"/>
  <c r="AX23" i="27" s="1"/>
  <c r="AM121" i="27"/>
  <c r="AY121" i="27" s="1"/>
  <c r="AK121" i="27"/>
  <c r="AX121" i="27" s="1"/>
  <c r="AU197" i="27"/>
  <c r="AQ197" i="27"/>
  <c r="AO197" i="27"/>
  <c r="AS197" i="27"/>
  <c r="AM197" i="27"/>
  <c r="AK197" i="27"/>
  <c r="AM141" i="27"/>
  <c r="AY141" i="27" s="1"/>
  <c r="AK141" i="27"/>
  <c r="AX141" i="27" s="1"/>
  <c r="AM120" i="27"/>
  <c r="AY120" i="27" s="1"/>
  <c r="AK120" i="27"/>
  <c r="AX120" i="27" s="1"/>
  <c r="AM38" i="27"/>
  <c r="AK38" i="27"/>
  <c r="AM184" i="27"/>
  <c r="AY184" i="27" s="1"/>
  <c r="AK184" i="27"/>
  <c r="AX184" i="27" s="1"/>
  <c r="AM95" i="27"/>
  <c r="AY95" i="27" s="1"/>
  <c r="AK95" i="27"/>
  <c r="AX95" i="27" s="1"/>
  <c r="AM83" i="27"/>
  <c r="AY83" i="27" s="1"/>
  <c r="AK83" i="27"/>
  <c r="AX83" i="27" s="1"/>
  <c r="AM36" i="27"/>
  <c r="AY36" i="27" s="1"/>
  <c r="AK36" i="27"/>
  <c r="AX36" i="27" s="1"/>
  <c r="AM49" i="27"/>
  <c r="AY49" i="27" s="1"/>
  <c r="AK49" i="27"/>
  <c r="AX49" i="27" s="1"/>
  <c r="AM168" i="27"/>
  <c r="AY168" i="27" s="1"/>
  <c r="AK168" i="27"/>
  <c r="AX168" i="27" s="1"/>
  <c r="AM162" i="27"/>
  <c r="AY162" i="27" s="1"/>
  <c r="AK162" i="27"/>
  <c r="AX162" i="27" s="1"/>
  <c r="AM144" i="27"/>
  <c r="AY144" i="27" s="1"/>
  <c r="AK144" i="27"/>
  <c r="AX144" i="27" s="1"/>
  <c r="AO151" i="27"/>
  <c r="AZ151" i="27" s="1"/>
  <c r="AM151" i="27"/>
  <c r="AY151" i="27" s="1"/>
  <c r="AK151" i="27"/>
  <c r="AX151" i="27" s="1"/>
  <c r="AQ151" i="27"/>
  <c r="BA151" i="27" s="1"/>
  <c r="AK156" i="27"/>
  <c r="AX156" i="27" s="1"/>
  <c r="AM156" i="27"/>
  <c r="AY156" i="27" s="1"/>
  <c r="AM85" i="27"/>
  <c r="AY85" i="27" s="1"/>
  <c r="AK85" i="27"/>
  <c r="AX85" i="27" s="1"/>
  <c r="AM67" i="27"/>
  <c r="AY67" i="27" s="1"/>
  <c r="AK67" i="27"/>
  <c r="AX67" i="27" s="1"/>
  <c r="AK88" i="27"/>
  <c r="AX88" i="27" s="1"/>
  <c r="AM88" i="27"/>
  <c r="AY88" i="27" s="1"/>
  <c r="AK8" i="27"/>
  <c r="AM8" i="27"/>
  <c r="AM7" i="27"/>
  <c r="AY7" i="27" s="1"/>
  <c r="AK7" i="27"/>
  <c r="AX7" i="27" s="1"/>
  <c r="AM65" i="27"/>
  <c r="AY65" i="27" s="1"/>
  <c r="AK65" i="27"/>
  <c r="AX65" i="27" s="1"/>
  <c r="AK190" i="27"/>
  <c r="AX190" i="27" s="1"/>
  <c r="AM190" i="27"/>
  <c r="AY190" i="27" s="1"/>
  <c r="AM106" i="27"/>
  <c r="AK106" i="27"/>
  <c r="AK94" i="27"/>
  <c r="AX94" i="27" s="1"/>
  <c r="AM94" i="27"/>
  <c r="AY94" i="27" s="1"/>
  <c r="AK128" i="27"/>
  <c r="AX128" i="27" s="1"/>
  <c r="AM128" i="27"/>
  <c r="AY128" i="27" s="1"/>
  <c r="AM183" i="27"/>
  <c r="AY183" i="27" s="1"/>
  <c r="AK183" i="27"/>
  <c r="AX183" i="27" s="1"/>
  <c r="AS30" i="27"/>
  <c r="AO30" i="27"/>
  <c r="AQ30" i="27"/>
  <c r="AK30" i="27"/>
  <c r="AU30" i="27"/>
  <c r="AM30" i="27"/>
  <c r="AM129" i="27"/>
  <c r="AY129" i="27" s="1"/>
  <c r="AK129" i="27"/>
  <c r="AX129" i="27" s="1"/>
  <c r="AM26" i="27"/>
  <c r="AK26" i="27"/>
  <c r="AK116" i="27"/>
  <c r="AX116" i="27" s="1"/>
  <c r="AM116" i="27"/>
  <c r="AY116" i="27" s="1"/>
  <c r="AM186" i="27"/>
  <c r="AY186" i="27" s="1"/>
  <c r="AK186" i="27"/>
  <c r="AX186" i="27" s="1"/>
  <c r="AM66" i="27"/>
  <c r="AY66" i="27" s="1"/>
  <c r="AK66" i="27"/>
  <c r="AX66" i="27" s="1"/>
  <c r="AU93" i="27"/>
  <c r="BC93" i="27" s="1"/>
  <c r="AS93" i="27"/>
  <c r="BB93" i="27" s="1"/>
  <c r="AK93" i="27"/>
  <c r="AX93" i="27" s="1"/>
  <c r="AM93" i="27"/>
  <c r="AY93" i="27" s="1"/>
  <c r="AO152" i="27"/>
  <c r="AZ152" i="27" s="1"/>
  <c r="AM152" i="27"/>
  <c r="AY152" i="27" s="1"/>
  <c r="AQ152" i="27"/>
  <c r="BA152" i="27" s="1"/>
  <c r="AK152" i="27"/>
  <c r="AX152" i="27" s="1"/>
  <c r="AS86" i="27"/>
  <c r="BB86" i="27" s="1"/>
  <c r="AO86" i="27"/>
  <c r="AZ86" i="27" s="1"/>
  <c r="AU86" i="27"/>
  <c r="BC86" i="27" s="1"/>
  <c r="AM86" i="27"/>
  <c r="AY86" i="27" s="1"/>
  <c r="AK86" i="27"/>
  <c r="AX86" i="27" s="1"/>
  <c r="AQ86" i="27"/>
  <c r="BA86" i="27" s="1"/>
  <c r="AM159" i="27"/>
  <c r="AY159" i="27" s="1"/>
  <c r="AK159" i="27"/>
  <c r="AX159" i="27" s="1"/>
  <c r="AS174" i="27"/>
  <c r="AQ174" i="27"/>
  <c r="AO174" i="27"/>
  <c r="AU174" i="27"/>
  <c r="AK174" i="27"/>
  <c r="AM174" i="27"/>
  <c r="AK45" i="27"/>
  <c r="AX45" i="27" s="1"/>
  <c r="AM45" i="27"/>
  <c r="AY45" i="27" s="1"/>
  <c r="AM74" i="27"/>
  <c r="AY74" i="27" s="1"/>
  <c r="AK74" i="27"/>
  <c r="AX74" i="27" s="1"/>
  <c r="AM145" i="27"/>
  <c r="AY145" i="27" s="1"/>
  <c r="AK145" i="27"/>
  <c r="AX145" i="27" s="1"/>
  <c r="AK181" i="27"/>
  <c r="AX181" i="27" s="1"/>
  <c r="AM181" i="27"/>
  <c r="AY181" i="27" s="1"/>
  <c r="AM187" i="27"/>
  <c r="AY187" i="27" s="1"/>
  <c r="AK187" i="27"/>
  <c r="AX187" i="27" s="1"/>
  <c r="AM150" i="27"/>
  <c r="AY150" i="27" s="1"/>
  <c r="AK150" i="27"/>
  <c r="AX150" i="27" s="1"/>
  <c r="AM98" i="27"/>
  <c r="AY98" i="27" s="1"/>
  <c r="AK98" i="27"/>
  <c r="AX98" i="27" s="1"/>
  <c r="AO102" i="27"/>
  <c r="AZ102" i="27" s="1"/>
  <c r="AQ102" i="27"/>
  <c r="BA102" i="27" s="1"/>
  <c r="AK102" i="27"/>
  <c r="AX102" i="27" s="1"/>
  <c r="AM102" i="27"/>
  <c r="AY102" i="27" s="1"/>
  <c r="AM52" i="27"/>
  <c r="AK52" i="27"/>
  <c r="AM97" i="27"/>
  <c r="AY97" i="27" s="1"/>
  <c r="AK97" i="27"/>
  <c r="AX97" i="27" s="1"/>
  <c r="AM51" i="27"/>
  <c r="AY51" i="27" s="1"/>
  <c r="AK51" i="27"/>
  <c r="AX51" i="27" s="1"/>
  <c r="AS87" i="27"/>
  <c r="BB87" i="27" s="1"/>
  <c r="AU87" i="27"/>
  <c r="BC87" i="27" s="1"/>
  <c r="AO87" i="27"/>
  <c r="AZ87" i="27" s="1"/>
  <c r="AM87" i="27"/>
  <c r="AY87" i="27" s="1"/>
  <c r="AK87" i="27"/>
  <c r="AX87" i="27" s="1"/>
  <c r="AQ87" i="27"/>
  <c r="BA87" i="27" s="1"/>
  <c r="AM33" i="27"/>
  <c r="AK33" i="27"/>
  <c r="AM42" i="27"/>
  <c r="AK42" i="27"/>
  <c r="AM4" i="27"/>
  <c r="AY4" i="27" s="1"/>
  <c r="AK4" i="27"/>
  <c r="AX4" i="27" s="1"/>
  <c r="AQ80" i="27"/>
  <c r="BA80" i="27" s="1"/>
  <c r="AM80" i="27"/>
  <c r="AY80" i="27" s="1"/>
  <c r="AO80" i="27"/>
  <c r="AZ80" i="27" s="1"/>
  <c r="AK80" i="27"/>
  <c r="AX80" i="27" s="1"/>
  <c r="AM68" i="27"/>
  <c r="AY68" i="27" s="1"/>
  <c r="AK68" i="27"/>
  <c r="AX68" i="27" s="1"/>
  <c r="AQ79" i="27"/>
  <c r="BA79" i="27" s="1"/>
  <c r="AO79" i="27"/>
  <c r="AZ79" i="27" s="1"/>
  <c r="AM79" i="27"/>
  <c r="AY79" i="27" s="1"/>
  <c r="AK79" i="27"/>
  <c r="AX79" i="27" s="1"/>
  <c r="AM64" i="27"/>
  <c r="AY64" i="27" s="1"/>
  <c r="AK64" i="27"/>
  <c r="AX64" i="27" s="1"/>
  <c r="AM50" i="27"/>
  <c r="AY50" i="27" s="1"/>
  <c r="AK50" i="27"/>
  <c r="AX50" i="27" s="1"/>
  <c r="AM163" i="27"/>
  <c r="AY163" i="27" s="1"/>
  <c r="AK163" i="27"/>
  <c r="AX163" i="27" s="1"/>
  <c r="AM96" i="27"/>
  <c r="AY96" i="27" s="1"/>
  <c r="AK96" i="27"/>
  <c r="AX96" i="27" s="1"/>
  <c r="AM114" i="27"/>
  <c r="AY114" i="27" s="1"/>
  <c r="AK114" i="27"/>
  <c r="AX114" i="27" s="1"/>
  <c r="AK165" i="27"/>
  <c r="AM165" i="27"/>
  <c r="AM11" i="27"/>
  <c r="AY11" i="27" s="1"/>
  <c r="AK11" i="27"/>
  <c r="AX11" i="27" s="1"/>
  <c r="AM58" i="27"/>
  <c r="AY58" i="27" s="1"/>
  <c r="AK58" i="27"/>
  <c r="AX58" i="27" s="1"/>
  <c r="AU154" i="27"/>
  <c r="AQ154" i="27"/>
  <c r="AM154" i="27"/>
  <c r="AO154" i="27"/>
  <c r="AS154" i="27"/>
  <c r="AK154" i="27"/>
  <c r="AM104" i="27"/>
  <c r="AK104" i="27"/>
  <c r="AK182" i="27"/>
  <c r="AX182" i="27" s="1"/>
  <c r="AM182" i="27"/>
  <c r="AY182" i="27" s="1"/>
  <c r="AU196" i="27"/>
  <c r="BC196" i="27" s="1"/>
  <c r="AQ196" i="27"/>
  <c r="BA196" i="27" s="1"/>
  <c r="AS196" i="27"/>
  <c r="BB196" i="27" s="1"/>
  <c r="AM196" i="27"/>
  <c r="AY196" i="27" s="1"/>
  <c r="AO196" i="27"/>
  <c r="AZ196" i="27" s="1"/>
  <c r="AK196" i="27"/>
  <c r="AX196" i="27" s="1"/>
  <c r="AM176" i="27"/>
  <c r="AY176" i="27" s="1"/>
  <c r="AK176" i="27"/>
  <c r="AX176" i="27" s="1"/>
  <c r="AM99" i="27"/>
  <c r="AY99" i="27" s="1"/>
  <c r="AK99" i="27"/>
  <c r="AX99" i="27" s="1"/>
  <c r="AM44" i="27"/>
  <c r="AK44" i="27"/>
  <c r="AM84" i="27"/>
  <c r="AY84" i="27" s="1"/>
  <c r="AK84" i="27"/>
  <c r="AX84" i="27" s="1"/>
  <c r="AU29" i="27"/>
  <c r="AQ29" i="27"/>
  <c r="AS29" i="27"/>
  <c r="AO29" i="27"/>
  <c r="AK29" i="27"/>
  <c r="AM29" i="27"/>
  <c r="AM27" i="27"/>
  <c r="AK27" i="27"/>
  <c r="AS32" i="27"/>
  <c r="AO32" i="27"/>
  <c r="AQ32" i="27"/>
  <c r="AU32" i="27"/>
  <c r="AM32" i="27"/>
  <c r="AK32" i="27"/>
  <c r="AM164" i="27"/>
  <c r="AY164" i="27" s="1"/>
  <c r="AK164" i="27"/>
  <c r="AX164" i="27" s="1"/>
  <c r="AM122" i="27"/>
  <c r="AY122" i="27" s="1"/>
  <c r="AK122" i="27"/>
  <c r="AX122" i="27" s="1"/>
  <c r="AQ77" i="27"/>
  <c r="BA77" i="27" s="1"/>
  <c r="AK77" i="27"/>
  <c r="AX77" i="27" s="1"/>
  <c r="AO77" i="27"/>
  <c r="AZ77" i="27" s="1"/>
  <c r="AM77" i="27"/>
  <c r="AY77" i="27" s="1"/>
  <c r="AK166" i="27"/>
  <c r="AX166" i="27" s="1"/>
  <c r="AM166" i="27"/>
  <c r="AY166" i="27" s="1"/>
  <c r="AK14" i="27"/>
  <c r="AX14" i="27" s="1"/>
  <c r="AM14" i="27"/>
  <c r="AY14" i="27" s="1"/>
  <c r="AM48" i="27"/>
  <c r="AY48" i="27" s="1"/>
  <c r="AK48" i="27"/>
  <c r="AX48" i="27" s="1"/>
  <c r="AQ75" i="27"/>
  <c r="BA75" i="27" s="1"/>
  <c r="AO75" i="27"/>
  <c r="AZ75" i="27" s="1"/>
  <c r="AM75" i="27"/>
  <c r="AY75" i="27" s="1"/>
  <c r="AK75" i="27"/>
  <c r="AX75" i="27" s="1"/>
  <c r="AM40" i="27"/>
  <c r="AK40" i="27"/>
  <c r="AM47" i="27"/>
  <c r="AY47" i="27" s="1"/>
  <c r="AK47" i="27"/>
  <c r="AX47" i="27" s="1"/>
  <c r="AM167" i="27"/>
  <c r="AY167" i="27" s="1"/>
  <c r="AK167" i="27"/>
  <c r="AX167" i="27" s="1"/>
  <c r="AM16" i="27"/>
  <c r="AY16" i="27" s="1"/>
  <c r="AK16" i="27"/>
  <c r="AX16" i="27" s="1"/>
  <c r="AO78" i="27"/>
  <c r="AZ78" i="27" s="1"/>
  <c r="AQ78" i="27"/>
  <c r="BA78" i="27" s="1"/>
  <c r="AK78" i="27"/>
  <c r="AX78" i="27" s="1"/>
  <c r="AM78" i="27"/>
  <c r="AY78" i="27" s="1"/>
  <c r="AK101" i="27"/>
  <c r="AX101" i="27" s="1"/>
  <c r="AM101" i="27"/>
  <c r="AY101" i="27" s="1"/>
  <c r="AU155" i="27"/>
  <c r="AQ155" i="27"/>
  <c r="AO155" i="27"/>
  <c r="AS155" i="27"/>
  <c r="AM155" i="27"/>
  <c r="AK155" i="27"/>
  <c r="AK158" i="27"/>
  <c r="AX158" i="27" s="1"/>
  <c r="AM158" i="27"/>
  <c r="AY158" i="27" s="1"/>
  <c r="AK107" i="27"/>
  <c r="AX107" i="27" s="1"/>
  <c r="AM107" i="27"/>
  <c r="AY107" i="27" s="1"/>
  <c r="AM59" i="27"/>
  <c r="AY59" i="27" s="1"/>
  <c r="AK59" i="27"/>
  <c r="AX59" i="27" s="1"/>
  <c r="AM39" i="27"/>
  <c r="AK39" i="27"/>
  <c r="AM135" i="27"/>
  <c r="AY135" i="27" s="1"/>
  <c r="AK135" i="27"/>
  <c r="AX135" i="27" s="1"/>
  <c r="AM71" i="27"/>
  <c r="AY71" i="27" s="1"/>
  <c r="AK71" i="27"/>
  <c r="AX71" i="27" s="1"/>
  <c r="AK189" i="27"/>
  <c r="AX189" i="27" s="1"/>
  <c r="AM189" i="27"/>
  <c r="AY189" i="27" s="1"/>
  <c r="AK137" i="27"/>
  <c r="AX137" i="27" s="1"/>
  <c r="AM137" i="27"/>
  <c r="AY137" i="27" s="1"/>
  <c r="AU194" i="27"/>
  <c r="BC194" i="27" s="1"/>
  <c r="AQ194" i="27"/>
  <c r="BA194" i="27" s="1"/>
  <c r="AS194" i="27"/>
  <c r="BB194" i="27" s="1"/>
  <c r="AM194" i="27"/>
  <c r="AY194" i="27" s="1"/>
  <c r="AK194" i="27"/>
  <c r="AX194" i="27" s="1"/>
  <c r="AO194" i="27"/>
  <c r="AZ194" i="27" s="1"/>
  <c r="AM188" i="27"/>
  <c r="AY188" i="27" s="1"/>
  <c r="AK188" i="27"/>
  <c r="AX188" i="27" s="1"/>
  <c r="AM169" i="27"/>
  <c r="AY169" i="27" s="1"/>
  <c r="AK169" i="27"/>
  <c r="AX169" i="27" s="1"/>
  <c r="AS175" i="27"/>
  <c r="AQ175" i="27"/>
  <c r="AO175" i="27"/>
  <c r="AU175" i="27"/>
  <c r="AK175" i="27"/>
  <c r="AM175" i="27"/>
  <c r="AM41" i="27"/>
  <c r="AK41" i="27"/>
  <c r="AK46" i="27"/>
  <c r="AX46" i="27" s="1"/>
  <c r="AM46" i="27"/>
  <c r="AY46" i="27" s="1"/>
  <c r="AM20" i="27"/>
  <c r="AK20" i="27"/>
  <c r="AM18" i="27"/>
  <c r="AY18" i="27" s="1"/>
  <c r="AK18" i="27"/>
  <c r="AX18" i="27" s="1"/>
  <c r="AK157" i="27"/>
  <c r="AX157" i="27" s="1"/>
  <c r="AM157" i="27"/>
  <c r="AY157" i="27" s="1"/>
  <c r="AK149" i="27"/>
  <c r="AX149" i="27" s="1"/>
  <c r="AM149" i="27"/>
  <c r="AY149" i="27" s="1"/>
  <c r="AM5" i="27"/>
  <c r="AY5" i="27" s="1"/>
  <c r="AK5" i="27"/>
  <c r="AX5" i="27" s="1"/>
  <c r="AM54" i="27"/>
  <c r="AY54" i="27" s="1"/>
  <c r="AK54" i="27"/>
  <c r="AX54" i="27" s="1"/>
  <c r="AS192" i="27"/>
  <c r="BB192" i="27" s="1"/>
  <c r="AQ192" i="27"/>
  <c r="BA192" i="27" s="1"/>
  <c r="AO192" i="27"/>
  <c r="AZ192" i="27" s="1"/>
  <c r="AU192" i="27"/>
  <c r="BC192" i="27" s="1"/>
  <c r="AK192" i="27"/>
  <c r="AX192" i="27" s="1"/>
  <c r="AM192" i="27"/>
  <c r="AY192" i="27" s="1"/>
  <c r="AM178" i="27"/>
  <c r="AY178" i="27" s="1"/>
  <c r="AK178" i="27"/>
  <c r="AX178" i="27" s="1"/>
  <c r="AK115" i="27"/>
  <c r="AX115" i="27" s="1"/>
  <c r="AM115" i="27"/>
  <c r="AY115" i="27" s="1"/>
  <c r="AQ133" i="27"/>
  <c r="BA133" i="27" s="1"/>
  <c r="AO133" i="27"/>
  <c r="AZ133" i="27" s="1"/>
  <c r="AM133" i="27"/>
  <c r="AY133" i="27" s="1"/>
  <c r="AK133" i="27"/>
  <c r="AX133" i="27" s="1"/>
  <c r="AM113" i="27"/>
  <c r="AK113" i="27"/>
  <c r="AS31" i="27"/>
  <c r="AO31" i="27"/>
  <c r="AQ31" i="27"/>
  <c r="AU31" i="27"/>
  <c r="AK31" i="27"/>
  <c r="AM31" i="27"/>
  <c r="AU195" i="27"/>
  <c r="BC195" i="27" s="1"/>
  <c r="AQ195" i="27"/>
  <c r="BA195" i="27" s="1"/>
  <c r="AS195" i="27"/>
  <c r="BB195" i="27" s="1"/>
  <c r="AM195" i="27"/>
  <c r="AY195" i="27" s="1"/>
  <c r="AK195" i="27"/>
  <c r="AX195" i="27" s="1"/>
  <c r="AO195" i="27"/>
  <c r="AZ195" i="27" s="1"/>
  <c r="AM185" i="27"/>
  <c r="AY185" i="27" s="1"/>
  <c r="AK185" i="27"/>
  <c r="AX185" i="27" s="1"/>
  <c r="AK63" i="27"/>
  <c r="AX63" i="27" s="1"/>
  <c r="AM63" i="27"/>
  <c r="AY63" i="27" s="1"/>
  <c r="AM55" i="27"/>
  <c r="AY55" i="27" s="1"/>
  <c r="AK55" i="27"/>
  <c r="AX55" i="27" s="1"/>
  <c r="AU124" i="27"/>
  <c r="AQ124" i="27"/>
  <c r="AM124" i="27"/>
  <c r="AS124" i="27"/>
  <c r="AK124" i="27"/>
  <c r="AO124" i="27"/>
  <c r="AS193" i="27"/>
  <c r="BB193" i="27" s="1"/>
  <c r="AU193" i="27"/>
  <c r="BC193" i="27" s="1"/>
  <c r="AQ193" i="27"/>
  <c r="BA193" i="27" s="1"/>
  <c r="AK193" i="27"/>
  <c r="AX193" i="27" s="1"/>
  <c r="AO193" i="27"/>
  <c r="AZ193" i="27" s="1"/>
  <c r="AM193" i="27"/>
  <c r="AY193" i="27" s="1"/>
  <c r="AU170" i="27"/>
  <c r="AQ170" i="27"/>
  <c r="AM170" i="27"/>
  <c r="AS170" i="27"/>
  <c r="AO170" i="27"/>
  <c r="AK170" i="27"/>
  <c r="AU173" i="27"/>
  <c r="AQ173" i="27"/>
  <c r="AS173" i="27"/>
  <c r="AO173" i="27"/>
  <c r="AK173" i="27"/>
  <c r="AM173" i="27"/>
  <c r="AK117" i="27"/>
  <c r="AX117" i="27" s="1"/>
  <c r="AM117" i="27"/>
  <c r="AY117" i="27" s="1"/>
  <c r="AM90" i="27"/>
  <c r="AY90" i="27" s="1"/>
  <c r="AK90" i="27"/>
  <c r="AX90" i="27" s="1"/>
  <c r="AM34" i="27"/>
  <c r="AK34" i="27"/>
  <c r="AM43" i="27"/>
  <c r="AK43" i="27"/>
  <c r="AM37" i="27"/>
  <c r="AK37" i="27"/>
  <c r="AM12" i="27"/>
  <c r="AY12" i="27" s="1"/>
  <c r="AK12" i="27"/>
  <c r="AX12" i="27" s="1"/>
  <c r="AM19" i="27"/>
  <c r="AK19" i="27"/>
  <c r="AM10" i="27"/>
  <c r="AY10" i="27" s="1"/>
  <c r="AK10" i="27"/>
  <c r="AX10" i="27" s="1"/>
  <c r="AO134" i="27"/>
  <c r="AZ134" i="27" s="1"/>
  <c r="AQ134" i="27"/>
  <c r="BA134" i="27" s="1"/>
  <c r="AM134" i="27"/>
  <c r="AY134" i="27" s="1"/>
  <c r="AK134" i="27"/>
  <c r="AX134" i="27" s="1"/>
  <c r="AM3" i="27"/>
  <c r="AK3" i="27"/>
  <c r="AK126" i="27"/>
  <c r="AX126" i="27" s="1"/>
  <c r="AM126" i="27"/>
  <c r="AY126" i="27" s="1"/>
  <c r="AK191" i="27"/>
  <c r="AX191" i="27" s="1"/>
  <c r="AM191" i="27"/>
  <c r="AY191" i="27" s="1"/>
  <c r="AM13" i="27"/>
  <c r="AY13" i="27" s="1"/>
  <c r="AK13" i="27"/>
  <c r="AX13" i="27" s="1"/>
  <c r="AM82" i="27"/>
  <c r="AY82" i="27" s="1"/>
  <c r="AK82" i="27"/>
  <c r="AX82" i="27" s="1"/>
  <c r="AM73" i="27"/>
  <c r="AY73" i="27" s="1"/>
  <c r="AK73" i="27"/>
  <c r="AX73" i="27" s="1"/>
  <c r="AM179" i="27"/>
  <c r="AY179" i="27" s="1"/>
  <c r="AK179" i="27"/>
  <c r="AX179" i="27" s="1"/>
  <c r="AM57" i="27"/>
  <c r="AY57" i="27" s="1"/>
  <c r="AK57" i="27"/>
  <c r="AX57" i="27" s="1"/>
  <c r="AM119" i="27"/>
  <c r="AY119" i="27" s="1"/>
  <c r="AK119" i="27"/>
  <c r="AX119" i="27" s="1"/>
  <c r="AU133" i="27"/>
  <c r="BC133" i="27" s="1"/>
  <c r="AU153" i="27"/>
  <c r="BC153" i="27" s="1"/>
  <c r="AU134" i="27"/>
  <c r="BC134" i="27" s="1"/>
  <c r="AU151" i="27"/>
  <c r="BC151" i="27" s="1"/>
  <c r="AU152" i="27"/>
  <c r="BC152" i="27" s="1"/>
  <c r="BC75" i="7"/>
  <c r="BC131" i="7"/>
  <c r="AU78" i="27"/>
  <c r="BC78" i="27" s="1"/>
  <c r="BC77" i="7"/>
  <c r="BC133" i="7"/>
  <c r="BC134" i="7"/>
  <c r="BC152" i="7"/>
  <c r="BC76" i="7"/>
  <c r="BC153" i="7"/>
  <c r="BC78" i="7"/>
  <c r="BC151" i="7"/>
  <c r="BC79" i="7"/>
  <c r="BC80" i="7"/>
  <c r="BC132" i="7"/>
  <c r="AS99" i="27"/>
  <c r="BB99" i="27" s="1"/>
  <c r="AS85" i="27"/>
  <c r="BB85" i="27" s="1"/>
  <c r="AS83" i="27"/>
  <c r="BB83" i="27" s="1"/>
  <c r="BA83" i="7"/>
  <c r="BA99" i="7"/>
  <c r="BA84" i="7"/>
  <c r="BA85" i="7"/>
  <c r="BA82" i="7"/>
  <c r="BC28" i="7"/>
  <c r="BA28" i="7"/>
  <c r="BA102" i="7"/>
  <c r="AU120" i="27"/>
  <c r="BC120" i="27" s="1"/>
  <c r="AU121" i="27"/>
  <c r="BC121" i="27" s="1"/>
  <c r="BC120" i="7"/>
  <c r="BC121" i="7"/>
  <c r="AS44" i="27"/>
  <c r="AS43" i="27"/>
  <c r="AS42" i="27"/>
  <c r="AS33" i="27"/>
  <c r="AS41" i="27"/>
  <c r="AS40" i="27"/>
  <c r="AS37" i="27"/>
  <c r="BA33" i="7"/>
  <c r="BA41" i="7"/>
  <c r="AS39" i="27"/>
  <c r="AS36" i="27"/>
  <c r="BB36" i="27" s="1"/>
  <c r="AS34" i="27"/>
  <c r="BA34" i="7"/>
  <c r="BA43" i="7"/>
  <c r="BA38" i="7"/>
  <c r="BA40" i="7"/>
  <c r="AS38" i="27"/>
  <c r="BA35" i="7"/>
  <c r="BA44" i="7"/>
  <c r="BA39" i="7"/>
  <c r="BA36" i="7"/>
  <c r="BA37" i="7"/>
  <c r="BA29" i="7"/>
  <c r="BA30" i="7"/>
  <c r="BA32" i="7"/>
  <c r="BA42" i="7"/>
  <c r="BA31" i="7"/>
  <c r="AS52" i="27"/>
  <c r="AS47" i="27"/>
  <c r="BB47" i="27" s="1"/>
  <c r="AS51" i="27"/>
  <c r="BB51" i="27" s="1"/>
  <c r="AS46" i="27"/>
  <c r="BB46" i="27" s="1"/>
  <c r="BA49" i="7"/>
  <c r="BA52" i="7"/>
  <c r="BA48" i="7"/>
  <c r="AS49" i="27"/>
  <c r="BB49" i="27" s="1"/>
  <c r="BA45" i="7"/>
  <c r="BA173" i="7"/>
  <c r="BA50" i="7"/>
  <c r="BA51" i="7"/>
  <c r="BA174" i="7"/>
  <c r="BA46" i="7"/>
  <c r="BA47" i="7"/>
  <c r="AU162" i="27"/>
  <c r="BC162" i="27" s="1"/>
  <c r="AU106" i="27"/>
  <c r="BC107" i="7"/>
  <c r="BC123" i="7"/>
  <c r="BC139" i="7"/>
  <c r="BC163" i="7"/>
  <c r="BC141" i="7"/>
  <c r="BC106" i="7"/>
  <c r="BC122" i="7"/>
  <c r="BC130" i="7"/>
  <c r="BC162" i="7"/>
  <c r="BC170" i="7"/>
  <c r="BC95" i="7"/>
  <c r="BC108" i="7"/>
  <c r="BC140" i="7"/>
  <c r="BC96" i="7"/>
  <c r="BC124" i="7"/>
  <c r="BC164" i="7"/>
  <c r="BC142" i="7"/>
  <c r="BA57" i="7"/>
  <c r="BA59" i="7"/>
  <c r="BA58" i="7"/>
  <c r="AS95" i="27"/>
  <c r="BB95" i="27" s="1"/>
  <c r="AS130" i="27"/>
  <c r="BB130" i="27" s="1"/>
  <c r="AS106" i="27"/>
  <c r="BA95" i="7"/>
  <c r="BA162" i="7"/>
  <c r="BA107" i="7"/>
  <c r="BA123" i="7"/>
  <c r="BA139" i="7"/>
  <c r="BA164" i="7"/>
  <c r="BA96" i="7"/>
  <c r="BA106" i="7"/>
  <c r="BA122" i="7"/>
  <c r="BA130" i="7"/>
  <c r="BA163" i="7"/>
  <c r="BA108" i="7"/>
  <c r="BA124" i="7"/>
  <c r="BA140" i="7"/>
  <c r="BA141" i="7"/>
  <c r="BA142" i="7"/>
  <c r="BA170" i="7"/>
  <c r="AU135" i="27"/>
  <c r="BC135" i="27" s="1"/>
  <c r="AU62" i="27"/>
  <c r="BC62" i="27" s="1"/>
  <c r="BC67" i="7"/>
  <c r="BC125" i="7"/>
  <c r="AU60" i="27"/>
  <c r="BC60" i="27" s="1"/>
  <c r="BC66" i="7"/>
  <c r="BC138" i="7"/>
  <c r="BC60" i="7"/>
  <c r="BC135" i="7"/>
  <c r="BC62" i="7"/>
  <c r="BC136" i="7"/>
  <c r="BC175" i="7"/>
  <c r="BC126" i="7"/>
  <c r="BC137" i="7"/>
  <c r="BC64" i="7"/>
  <c r="BC63" i="7"/>
  <c r="BC65" i="7"/>
  <c r="BC94" i="7"/>
  <c r="BC3" i="7"/>
  <c r="BC11" i="7"/>
  <c r="AU2" i="27"/>
  <c r="BC4" i="7"/>
  <c r="BC12" i="7"/>
  <c r="AU3" i="27"/>
  <c r="BC5" i="7"/>
  <c r="BC13" i="7"/>
  <c r="BC189" i="7"/>
  <c r="AU12" i="27"/>
  <c r="BC12" i="27" s="1"/>
  <c r="AU11" i="27"/>
  <c r="BC11" i="27" s="1"/>
  <c r="AU9" i="27"/>
  <c r="BC10" i="7"/>
  <c r="BC14" i="7"/>
  <c r="BC2" i="7"/>
  <c r="BC191" i="7"/>
  <c r="BC190" i="7"/>
  <c r="BC188" i="7"/>
  <c r="BC6" i="7"/>
  <c r="AU8" i="27"/>
  <c r="BC7" i="7"/>
  <c r="BC8" i="7"/>
  <c r="BC9" i="7"/>
  <c r="BC19" i="7"/>
  <c r="BC27" i="7"/>
  <c r="BC195" i="7"/>
  <c r="BC20" i="7"/>
  <c r="BC21" i="7"/>
  <c r="AU21" i="27"/>
  <c r="BC18" i="7"/>
  <c r="BC26" i="7"/>
  <c r="BC194" i="7"/>
  <c r="AU26" i="27"/>
  <c r="BC15" i="7"/>
  <c r="BC16" i="7"/>
  <c r="BC22" i="7"/>
  <c r="AU19" i="27"/>
  <c r="BC17" i="7"/>
  <c r="AU27" i="27"/>
  <c r="AU20" i="27"/>
  <c r="AU17" i="27"/>
  <c r="BC192" i="7"/>
  <c r="BC23" i="7"/>
  <c r="AU18" i="27"/>
  <c r="BC18" i="27" s="1"/>
  <c r="BC24" i="7"/>
  <c r="BC193" i="7"/>
  <c r="BC25" i="7"/>
  <c r="BC196" i="7"/>
  <c r="AU165" i="27"/>
  <c r="AU129" i="27"/>
  <c r="BC129" i="27" s="1"/>
  <c r="BC165" i="7"/>
  <c r="BC127" i="7"/>
  <c r="AU104" i="27"/>
  <c r="BC103" i="7"/>
  <c r="BC128" i="7"/>
  <c r="BC104" i="7"/>
  <c r="BC129" i="7"/>
  <c r="BC105" i="7"/>
  <c r="BC101" i="7"/>
  <c r="BC100" i="7"/>
  <c r="AS75" i="27"/>
  <c r="BB75" i="27" s="1"/>
  <c r="BA79" i="7"/>
  <c r="BA151" i="7"/>
  <c r="BA75" i="7"/>
  <c r="BA80" i="7"/>
  <c r="BA152" i="7"/>
  <c r="BA132" i="7"/>
  <c r="BA153" i="7"/>
  <c r="BA76" i="7"/>
  <c r="BA77" i="7"/>
  <c r="BA133" i="7"/>
  <c r="BA78" i="7"/>
  <c r="BA134" i="7"/>
  <c r="BA131" i="7"/>
  <c r="BA65" i="7"/>
  <c r="BA135" i="7"/>
  <c r="BA175" i="7"/>
  <c r="BA64" i="7"/>
  <c r="BA138" i="7"/>
  <c r="BA66" i="7"/>
  <c r="BA67" i="7"/>
  <c r="BA62" i="7"/>
  <c r="BA136" i="7"/>
  <c r="BA125" i="7"/>
  <c r="BA63" i="7"/>
  <c r="BA137" i="7"/>
  <c r="BA60" i="7"/>
  <c r="BA94" i="7"/>
  <c r="BA126" i="7"/>
  <c r="BA53" i="7"/>
  <c r="BA54" i="7"/>
  <c r="BA56" i="7"/>
  <c r="BA55" i="7"/>
  <c r="AU160" i="27"/>
  <c r="BC160" i="27" s="1"/>
  <c r="AU118" i="27"/>
  <c r="BC115" i="7"/>
  <c r="BC117" i="7"/>
  <c r="BC114" i="7"/>
  <c r="BC116" i="7"/>
  <c r="BC160" i="7"/>
  <c r="BC161" i="7"/>
  <c r="BC118" i="7"/>
  <c r="BC119" i="7"/>
  <c r="C7" i="27"/>
  <c r="AS165" i="27"/>
  <c r="AS104" i="27"/>
  <c r="BA103" i="7"/>
  <c r="BA127" i="7"/>
  <c r="BA104" i="7"/>
  <c r="BA128" i="7"/>
  <c r="BA105" i="7"/>
  <c r="BA129" i="7"/>
  <c r="BA165" i="7"/>
  <c r="AS20" i="27"/>
  <c r="BA15" i="7"/>
  <c r="AS21" i="27"/>
  <c r="BA17" i="7"/>
  <c r="BA25" i="7"/>
  <c r="AS27" i="27"/>
  <c r="AS19" i="27"/>
  <c r="BA24" i="7"/>
  <c r="BA20" i="7"/>
  <c r="BA21" i="7"/>
  <c r="BA16" i="7"/>
  <c r="BA26" i="7"/>
  <c r="BA192" i="7"/>
  <c r="BA19" i="7"/>
  <c r="BA194" i="7"/>
  <c r="BA18" i="7"/>
  <c r="BA27" i="7"/>
  <c r="BA193" i="7"/>
  <c r="BA195" i="7"/>
  <c r="AS26" i="27"/>
  <c r="BA196" i="7"/>
  <c r="AS17" i="27"/>
  <c r="BA22" i="7"/>
  <c r="BA23" i="7"/>
  <c r="BC157" i="7"/>
  <c r="BC156" i="7"/>
  <c r="BC98" i="7"/>
  <c r="BC97" i="7"/>
  <c r="BC53" i="7"/>
  <c r="BC54" i="7"/>
  <c r="BC55" i="7"/>
  <c r="BC56" i="7"/>
  <c r="BA100" i="7"/>
  <c r="BA101" i="7"/>
  <c r="AU113" i="27"/>
  <c r="BC91" i="7"/>
  <c r="BC147" i="7"/>
  <c r="BC109" i="7"/>
  <c r="BC149" i="7"/>
  <c r="BC90" i="7"/>
  <c r="BC112" i="7"/>
  <c r="BC110" i="7"/>
  <c r="BC148" i="7"/>
  <c r="BC111" i="7"/>
  <c r="BC150" i="7"/>
  <c r="BC89" i="7"/>
  <c r="BC113" i="7"/>
  <c r="AS113" i="27"/>
  <c r="AS89" i="27"/>
  <c r="BB89" i="27" s="1"/>
  <c r="BA111" i="7"/>
  <c r="BA90" i="7"/>
  <c r="BA91" i="7"/>
  <c r="BA112" i="7"/>
  <c r="BA89" i="7"/>
  <c r="BA113" i="7"/>
  <c r="BA149" i="7"/>
  <c r="BA148" i="7"/>
  <c r="BA109" i="7"/>
  <c r="BA110" i="7"/>
  <c r="BA150" i="7"/>
  <c r="BA147" i="7"/>
  <c r="BC167" i="7"/>
  <c r="BC166" i="7"/>
  <c r="BC179" i="7"/>
  <c r="BC187" i="7"/>
  <c r="BC181" i="7"/>
  <c r="BC178" i="7"/>
  <c r="BC186" i="7"/>
  <c r="BC184" i="7"/>
  <c r="BC180" i="7"/>
  <c r="BC185" i="7"/>
  <c r="BC177" i="7"/>
  <c r="BC176" i="7"/>
  <c r="BC182" i="7"/>
  <c r="BC183" i="7"/>
  <c r="BA167" i="7"/>
  <c r="BA166" i="7"/>
  <c r="BA73" i="7"/>
  <c r="BA70" i="7"/>
  <c r="BA71" i="7"/>
  <c r="BA74" i="7"/>
  <c r="BA172" i="7"/>
  <c r="BA72" i="7"/>
  <c r="BA81" i="7"/>
  <c r="BA171" i="7"/>
  <c r="BA68" i="7"/>
  <c r="BA69" i="7"/>
  <c r="BA156" i="7"/>
  <c r="BA157" i="7"/>
  <c r="BA168" i="7"/>
  <c r="BA169" i="7"/>
  <c r="BC83" i="7"/>
  <c r="BC99" i="7"/>
  <c r="BC85" i="7"/>
  <c r="BC82" i="7"/>
  <c r="BC84" i="7"/>
  <c r="BC159" i="7"/>
  <c r="BC158" i="7"/>
  <c r="BC61" i="7"/>
  <c r="BC59" i="7"/>
  <c r="BC58" i="7"/>
  <c r="BC57" i="7"/>
  <c r="BA61" i="7"/>
  <c r="BC171" i="7"/>
  <c r="BC69" i="7"/>
  <c r="BC74" i="7"/>
  <c r="BC71" i="7"/>
  <c r="BC172" i="7"/>
  <c r="BC72" i="7"/>
  <c r="BC73" i="7"/>
  <c r="BC68" i="7"/>
  <c r="BC70" i="7"/>
  <c r="BC81" i="7"/>
  <c r="BA159" i="7"/>
  <c r="BA158" i="7"/>
  <c r="AS118" i="27"/>
  <c r="BA119" i="7"/>
  <c r="BA116" i="7"/>
  <c r="BA117" i="7"/>
  <c r="BA160" i="7"/>
  <c r="BA161" i="7"/>
  <c r="BA115" i="7"/>
  <c r="BA118" i="7"/>
  <c r="BA114" i="7"/>
  <c r="BC102" i="7"/>
  <c r="AS8" i="27"/>
  <c r="BA7" i="7"/>
  <c r="AS9" i="27"/>
  <c r="BA9" i="7"/>
  <c r="BA6" i="7"/>
  <c r="BA14" i="7"/>
  <c r="BA13" i="7"/>
  <c r="BA191" i="7"/>
  <c r="BA10" i="7"/>
  <c r="BA3" i="7"/>
  <c r="AS3" i="27"/>
  <c r="AS2" i="27"/>
  <c r="BA4" i="7"/>
  <c r="BA8" i="7"/>
  <c r="BA188" i="7"/>
  <c r="BA11" i="7"/>
  <c r="BA189" i="7"/>
  <c r="BA12" i="7"/>
  <c r="BA190" i="7"/>
  <c r="BA2" i="7"/>
  <c r="BA5" i="7"/>
  <c r="BA143" i="7"/>
  <c r="BA155" i="7"/>
  <c r="BA144" i="7"/>
  <c r="BA146" i="7"/>
  <c r="BA145" i="7"/>
  <c r="BA154" i="7"/>
  <c r="BA197" i="7"/>
  <c r="BA97" i="7"/>
  <c r="BA98" i="7"/>
  <c r="BC168" i="7"/>
  <c r="BC169" i="7"/>
  <c r="AU52" i="27"/>
  <c r="BC51" i="7"/>
  <c r="BC45" i="7"/>
  <c r="BC173" i="7"/>
  <c r="BC50" i="7"/>
  <c r="BC46" i="7"/>
  <c r="BC52" i="7"/>
  <c r="BC47" i="7"/>
  <c r="BC174" i="7"/>
  <c r="BC48" i="7"/>
  <c r="BC49" i="7"/>
  <c r="BA183" i="7"/>
  <c r="BA178" i="7"/>
  <c r="BA187" i="7"/>
  <c r="BA180" i="7"/>
  <c r="BA181" i="7"/>
  <c r="BA176" i="7"/>
  <c r="BA184" i="7"/>
  <c r="BA177" i="7"/>
  <c r="BA185" i="7"/>
  <c r="BA186" i="7"/>
  <c r="BA182" i="7"/>
  <c r="BA179" i="7"/>
  <c r="AU33" i="27"/>
  <c r="BC35" i="7"/>
  <c r="BC43" i="7"/>
  <c r="AU44" i="27"/>
  <c r="AU39" i="27"/>
  <c r="BC36" i="7"/>
  <c r="BC44" i="7"/>
  <c r="BC29" i="7"/>
  <c r="BC37" i="7"/>
  <c r="AU43" i="27"/>
  <c r="AU42" i="27"/>
  <c r="BC34" i="7"/>
  <c r="BC42" i="7"/>
  <c r="BC30" i="7"/>
  <c r="AU40" i="27"/>
  <c r="BC31" i="7"/>
  <c r="BC32" i="7"/>
  <c r="BC33" i="7"/>
  <c r="AU37" i="27"/>
  <c r="AU41" i="27"/>
  <c r="BC39" i="7"/>
  <c r="BC40" i="7"/>
  <c r="AU38" i="27"/>
  <c r="AU34" i="27"/>
  <c r="BC41" i="7"/>
  <c r="BC38" i="7"/>
  <c r="BA120" i="7"/>
  <c r="BA121" i="7"/>
  <c r="BC88" i="7"/>
  <c r="BA88" i="7"/>
  <c r="BC155" i="7"/>
  <c r="BC197" i="7"/>
  <c r="BC146" i="7"/>
  <c r="BC154" i="7"/>
  <c r="BC145" i="7"/>
  <c r="BC143" i="7"/>
  <c r="BC144" i="7"/>
  <c r="BM155" i="7"/>
  <c r="BD171" i="7"/>
  <c r="BB171" i="7"/>
  <c r="BD172" i="7"/>
  <c r="BB172" i="7"/>
  <c r="BB121" i="7"/>
  <c r="BL121" i="7" s="1"/>
  <c r="BD121" i="7"/>
  <c r="BK121" i="7" s="1"/>
  <c r="P34" i="14"/>
  <c r="B11" i="7"/>
  <c r="B12" i="7" s="1"/>
  <c r="B104" i="7"/>
  <c r="B105" i="7" s="1"/>
  <c r="B14" i="7"/>
  <c r="P32" i="14"/>
  <c r="AV172" i="7"/>
  <c r="AT172" i="7"/>
  <c r="AZ172" i="7"/>
  <c r="AX172" i="7"/>
  <c r="AZ171" i="7"/>
  <c r="AX171" i="7"/>
  <c r="AT171" i="7"/>
  <c r="AV171" i="7"/>
  <c r="AQ121" i="7"/>
  <c r="AP121" i="7"/>
  <c r="AP11" i="7"/>
  <c r="AR155" i="7"/>
  <c r="AQ11" i="7"/>
  <c r="AR11" i="7"/>
  <c r="AP197" i="7"/>
  <c r="AR197" i="7"/>
  <c r="AQ197" i="7"/>
  <c r="AQ155" i="7"/>
  <c r="BI3" i="7"/>
  <c r="BJ3" i="7"/>
  <c r="BI8" i="7"/>
  <c r="BJ8" i="7"/>
  <c r="BI9" i="7"/>
  <c r="BJ9" i="7"/>
  <c r="BI20" i="7"/>
  <c r="BJ20" i="7"/>
  <c r="BI21" i="7"/>
  <c r="BJ21" i="7"/>
  <c r="BI24" i="7"/>
  <c r="BJ24" i="7"/>
  <c r="BI25" i="7"/>
  <c r="BJ25" i="7"/>
  <c r="BI26" i="7"/>
  <c r="BJ26" i="7"/>
  <c r="BI27" i="7"/>
  <c r="BJ27" i="7"/>
  <c r="BI29" i="7"/>
  <c r="BJ29" i="7"/>
  <c r="BI30" i="7"/>
  <c r="BJ30" i="7"/>
  <c r="BI31" i="7"/>
  <c r="BJ31" i="7"/>
  <c r="BI32" i="7"/>
  <c r="BJ32" i="7"/>
  <c r="BI33" i="7"/>
  <c r="BJ33" i="7"/>
  <c r="BI34" i="7"/>
  <c r="BJ34" i="7"/>
  <c r="BI37" i="7"/>
  <c r="BJ37" i="7"/>
  <c r="BI38" i="7"/>
  <c r="BJ38" i="7"/>
  <c r="BI39" i="7"/>
  <c r="BJ39" i="7"/>
  <c r="BI40" i="7"/>
  <c r="BJ40" i="7"/>
  <c r="BI41" i="7"/>
  <c r="BJ41" i="7"/>
  <c r="BI42" i="7"/>
  <c r="BJ42" i="7"/>
  <c r="BI43" i="7"/>
  <c r="BJ43" i="7"/>
  <c r="BI44" i="7"/>
  <c r="BJ44" i="7"/>
  <c r="BI53" i="7"/>
  <c r="BJ53" i="7"/>
  <c r="BI103" i="7"/>
  <c r="BJ103" i="7"/>
  <c r="BI104" i="7"/>
  <c r="BJ104" i="7"/>
  <c r="BI105" i="7"/>
  <c r="BJ105" i="7"/>
  <c r="BI112" i="7"/>
  <c r="BJ112" i="7"/>
  <c r="BI118" i="7"/>
  <c r="BJ118" i="7"/>
  <c r="BI154" i="7"/>
  <c r="BJ154" i="7"/>
  <c r="BI170" i="7"/>
  <c r="BJ170" i="7"/>
  <c r="BI173" i="7"/>
  <c r="BJ173" i="7"/>
  <c r="BI174" i="7"/>
  <c r="BJ174" i="7"/>
  <c r="BI175" i="7"/>
  <c r="BJ175" i="7"/>
  <c r="BI197" i="7"/>
  <c r="BJ197" i="7"/>
  <c r="BJ2" i="7"/>
  <c r="BI2" i="7"/>
  <c r="BH2" i="7"/>
  <c r="BH3" i="7"/>
  <c r="BH8" i="7"/>
  <c r="BH9" i="7"/>
  <c r="BH20" i="7"/>
  <c r="BH21" i="7"/>
  <c r="BH24" i="7"/>
  <c r="BH25" i="7"/>
  <c r="BH26" i="7"/>
  <c r="BH27" i="7"/>
  <c r="BH29" i="7"/>
  <c r="BH30" i="7"/>
  <c r="BH31" i="7"/>
  <c r="BH32" i="7"/>
  <c r="BH33" i="7"/>
  <c r="BH34" i="7"/>
  <c r="BH37" i="7"/>
  <c r="BH38" i="7"/>
  <c r="BH39" i="7"/>
  <c r="BH40" i="7"/>
  <c r="BH41" i="7"/>
  <c r="BH42" i="7"/>
  <c r="BH43" i="7"/>
  <c r="BH44" i="7"/>
  <c r="BH53" i="7"/>
  <c r="BH103" i="7"/>
  <c r="BH104" i="7"/>
  <c r="BH105" i="7"/>
  <c r="BH112" i="7"/>
  <c r="BH118" i="7"/>
  <c r="BH154" i="7"/>
  <c r="BH170" i="7"/>
  <c r="BH173" i="7"/>
  <c r="BH174" i="7"/>
  <c r="BH175" i="7"/>
  <c r="BH197" i="7"/>
  <c r="BG2" i="7"/>
  <c r="BG3" i="7"/>
  <c r="BG8" i="7"/>
  <c r="BG9" i="7"/>
  <c r="BG20" i="7"/>
  <c r="BM20" i="7" s="1"/>
  <c r="BG21" i="7"/>
  <c r="BM21" i="7" s="1"/>
  <c r="BG24" i="7"/>
  <c r="BG25" i="7"/>
  <c r="BG26" i="7"/>
  <c r="BG27" i="7"/>
  <c r="BG29" i="7"/>
  <c r="BG30" i="7"/>
  <c r="BG31" i="7"/>
  <c r="BM31" i="7" s="1"/>
  <c r="BG32" i="7"/>
  <c r="BM32" i="7" s="1"/>
  <c r="BG33" i="7"/>
  <c r="BG34" i="7"/>
  <c r="BG37" i="7"/>
  <c r="BG38" i="7"/>
  <c r="BG39" i="7"/>
  <c r="BG40" i="7"/>
  <c r="BG41" i="7"/>
  <c r="BM41" i="7" s="1"/>
  <c r="BG42" i="7"/>
  <c r="BM42" i="7" s="1"/>
  <c r="BG43" i="7"/>
  <c r="BG44" i="7"/>
  <c r="BG53" i="7"/>
  <c r="BG103" i="7"/>
  <c r="BG104" i="7"/>
  <c r="BG105" i="7"/>
  <c r="BG112" i="7"/>
  <c r="BM112" i="7" s="1"/>
  <c r="BG118" i="7"/>
  <c r="BM118" i="7" s="1"/>
  <c r="BG154" i="7"/>
  <c r="BG170" i="7"/>
  <c r="BG173" i="7"/>
  <c r="BG174" i="7"/>
  <c r="BG175" i="7"/>
  <c r="BG197" i="7"/>
  <c r="AO196" i="7"/>
  <c r="AM196" i="7"/>
  <c r="AN196" i="7" s="1"/>
  <c r="AM195" i="7"/>
  <c r="AN195" i="7" s="1"/>
  <c r="AM194" i="7"/>
  <c r="AN194" i="7" s="1"/>
  <c r="AM192" i="7"/>
  <c r="AN192" i="7" s="1"/>
  <c r="H197" i="7"/>
  <c r="AO194" i="7"/>
  <c r="AO195" i="7"/>
  <c r="AM193" i="7"/>
  <c r="AN193" i="7" s="1"/>
  <c r="AO193" i="7"/>
  <c r="AO192" i="7"/>
  <c r="AM174" i="7"/>
  <c r="AN174" i="7" s="1"/>
  <c r="H195" i="7"/>
  <c r="H196" i="7"/>
  <c r="H193" i="7"/>
  <c r="H194" i="7"/>
  <c r="H192" i="7"/>
  <c r="BD192" i="27" l="1"/>
  <c r="BD87" i="27"/>
  <c r="BD194" i="27"/>
  <c r="BD86" i="27"/>
  <c r="BD193" i="27"/>
  <c r="BD196" i="27"/>
  <c r="BD195" i="27"/>
  <c r="AS88" i="27"/>
  <c r="BB88" i="27" s="1"/>
  <c r="AS182" i="27"/>
  <c r="BB182" i="27" s="1"/>
  <c r="AU47" i="27"/>
  <c r="BC47" i="27" s="1"/>
  <c r="AS14" i="27"/>
  <c r="BB14" i="27" s="1"/>
  <c r="AS190" i="27"/>
  <c r="BB190" i="27" s="1"/>
  <c r="AS160" i="27"/>
  <c r="BB160" i="27" s="1"/>
  <c r="AU57" i="27"/>
  <c r="BC57" i="27" s="1"/>
  <c r="AU85" i="27"/>
  <c r="BC85" i="27" s="1"/>
  <c r="AS156" i="27"/>
  <c r="BB156" i="27" s="1"/>
  <c r="AS81" i="27"/>
  <c r="BB81" i="27" s="1"/>
  <c r="AU183" i="27"/>
  <c r="BC183" i="27" s="1"/>
  <c r="AU186" i="27"/>
  <c r="BC186" i="27" s="1"/>
  <c r="AU89" i="27"/>
  <c r="BC89" i="27" s="1"/>
  <c r="AU157" i="27"/>
  <c r="BC157" i="27" s="1"/>
  <c r="AS18" i="27"/>
  <c r="BB18" i="27" s="1"/>
  <c r="AS128" i="27"/>
  <c r="BB128" i="27" s="1"/>
  <c r="AS63" i="27"/>
  <c r="BB63" i="27" s="1"/>
  <c r="AS137" i="27"/>
  <c r="BB137" i="27" s="1"/>
  <c r="AS80" i="27"/>
  <c r="BB80" i="27" s="1"/>
  <c r="AS151" i="27"/>
  <c r="AU5" i="27"/>
  <c r="BC5" i="27" s="1"/>
  <c r="AU13" i="27"/>
  <c r="BC13" i="27" s="1"/>
  <c r="AU63" i="27"/>
  <c r="BC63" i="27" s="1"/>
  <c r="AU125" i="27"/>
  <c r="BC125" i="27" s="1"/>
  <c r="AS108" i="27"/>
  <c r="BB108" i="27" s="1"/>
  <c r="AS96" i="27"/>
  <c r="BB96" i="27" s="1"/>
  <c r="AU139" i="27"/>
  <c r="BC139" i="27" s="1"/>
  <c r="AS177" i="27"/>
  <c r="BB177" i="27" s="1"/>
  <c r="AS97" i="27"/>
  <c r="BB97" i="27" s="1"/>
  <c r="AS6" i="27"/>
  <c r="BB6" i="27" s="1"/>
  <c r="AS191" i="27"/>
  <c r="BB191" i="27" s="1"/>
  <c r="AS115" i="27"/>
  <c r="BB115" i="27" s="1"/>
  <c r="AU74" i="27"/>
  <c r="BC74" i="27" s="1"/>
  <c r="AU84" i="27"/>
  <c r="BC84" i="27" s="1"/>
  <c r="AS70" i="27"/>
  <c r="BB70" i="27" s="1"/>
  <c r="AU187" i="27"/>
  <c r="BC187" i="27" s="1"/>
  <c r="AU176" i="27"/>
  <c r="BC176" i="27" s="1"/>
  <c r="AS150" i="27"/>
  <c r="BB150" i="27" s="1"/>
  <c r="AU109" i="27"/>
  <c r="BC109" i="27" s="1"/>
  <c r="AU54" i="27"/>
  <c r="BC54" i="27" s="1"/>
  <c r="AU98" i="27"/>
  <c r="BC98" i="27" s="1"/>
  <c r="AU156" i="27"/>
  <c r="BC156" i="27" s="1"/>
  <c r="AS127" i="27"/>
  <c r="BB127" i="27" s="1"/>
  <c r="AS56" i="27"/>
  <c r="BB56" i="27" s="1"/>
  <c r="AS64" i="27"/>
  <c r="BB64" i="27" s="1"/>
  <c r="AS135" i="27"/>
  <c r="BB135" i="27" s="1"/>
  <c r="AS132" i="27"/>
  <c r="BB132" i="27" s="1"/>
  <c r="AU100" i="27"/>
  <c r="BC100" i="27" s="1"/>
  <c r="AU15" i="27"/>
  <c r="BC15" i="27" s="1"/>
  <c r="AU7" i="27"/>
  <c r="BC7" i="27" s="1"/>
  <c r="AU64" i="27"/>
  <c r="BC64" i="27" s="1"/>
  <c r="AU126" i="27"/>
  <c r="BC126" i="27" s="1"/>
  <c r="AS107" i="27"/>
  <c r="BB107" i="27" s="1"/>
  <c r="AS176" i="27"/>
  <c r="BB176" i="27" s="1"/>
  <c r="AS98" i="27"/>
  <c r="BB98" i="27" s="1"/>
  <c r="AS146" i="27"/>
  <c r="BB146" i="27" s="1"/>
  <c r="AS13" i="27"/>
  <c r="BB13" i="27" s="1"/>
  <c r="AS10" i="27"/>
  <c r="BB10" i="27" s="1"/>
  <c r="AS188" i="27"/>
  <c r="BB188" i="27" s="1"/>
  <c r="AS114" i="27"/>
  <c r="BB114" i="27" s="1"/>
  <c r="AU81" i="27"/>
  <c r="BC81" i="27" s="1"/>
  <c r="AS61" i="27"/>
  <c r="BB61" i="27" s="1"/>
  <c r="AU61" i="27"/>
  <c r="BC61" i="27" s="1"/>
  <c r="AS72" i="27"/>
  <c r="BB72" i="27" s="1"/>
  <c r="AS166" i="27"/>
  <c r="BB166" i="27" s="1"/>
  <c r="AU180" i="27"/>
  <c r="BC180" i="27" s="1"/>
  <c r="AU181" i="27"/>
  <c r="BC181" i="27" s="1"/>
  <c r="AU110" i="27"/>
  <c r="BC110" i="27" s="1"/>
  <c r="AS100" i="27"/>
  <c r="BB100" i="27" s="1"/>
  <c r="AU55" i="27"/>
  <c r="BC55" i="27" s="1"/>
  <c r="AS129" i="27"/>
  <c r="BB129" i="27" s="1"/>
  <c r="AU161" i="27"/>
  <c r="BC161" i="27" s="1"/>
  <c r="AS54" i="27"/>
  <c r="BB54" i="27" s="1"/>
  <c r="AS65" i="27"/>
  <c r="BB65" i="27" s="1"/>
  <c r="AS136" i="27"/>
  <c r="BB136" i="27" s="1"/>
  <c r="AS131" i="27"/>
  <c r="BB131" i="27" s="1"/>
  <c r="AU101" i="27"/>
  <c r="BC101" i="27" s="1"/>
  <c r="AU14" i="27"/>
  <c r="BC14" i="27" s="1"/>
  <c r="AU65" i="27"/>
  <c r="BC65" i="27" s="1"/>
  <c r="AU136" i="27"/>
  <c r="BC136" i="27" s="1"/>
  <c r="AS122" i="27"/>
  <c r="BB122" i="27" s="1"/>
  <c r="AS139" i="27"/>
  <c r="BB139" i="27" s="1"/>
  <c r="AS58" i="27"/>
  <c r="BB58" i="27" s="1"/>
  <c r="AU96" i="27"/>
  <c r="BC96" i="27" s="1"/>
  <c r="AU123" i="27"/>
  <c r="BC123" i="27" s="1"/>
  <c r="AS102" i="27"/>
  <c r="BB102" i="27" s="1"/>
  <c r="AU79" i="27"/>
  <c r="BC79" i="27" s="1"/>
  <c r="AU132" i="27"/>
  <c r="BC132" i="27" s="1"/>
  <c r="AU36" i="27"/>
  <c r="BC36" i="27" s="1"/>
  <c r="AS181" i="27"/>
  <c r="BB181" i="27" s="1"/>
  <c r="AS145" i="27"/>
  <c r="BB145" i="27" s="1"/>
  <c r="AS11" i="27"/>
  <c r="BB11" i="27" s="1"/>
  <c r="AS116" i="27"/>
  <c r="BB116" i="27" s="1"/>
  <c r="AS158" i="27"/>
  <c r="BB158" i="27" s="1"/>
  <c r="AU69" i="27"/>
  <c r="BC69" i="27" s="1"/>
  <c r="AU82" i="27"/>
  <c r="BC82" i="27" s="1"/>
  <c r="AS168" i="27"/>
  <c r="BB168" i="27" s="1"/>
  <c r="AS68" i="27"/>
  <c r="BB68" i="27" s="1"/>
  <c r="AS167" i="27"/>
  <c r="BB167" i="27" s="1"/>
  <c r="AU184" i="27"/>
  <c r="BC184" i="27" s="1"/>
  <c r="AU185" i="27"/>
  <c r="BC185" i="27" s="1"/>
  <c r="AS149" i="27"/>
  <c r="BB149" i="27" s="1"/>
  <c r="AU111" i="27"/>
  <c r="BC111" i="27" s="1"/>
  <c r="AS101" i="27"/>
  <c r="BB101" i="27" s="1"/>
  <c r="AS16" i="27"/>
  <c r="BB16" i="27" s="1"/>
  <c r="AU116" i="27"/>
  <c r="BC116" i="27" s="1"/>
  <c r="AS66" i="27"/>
  <c r="BB66" i="27" s="1"/>
  <c r="AS138" i="27"/>
  <c r="BB138" i="27" s="1"/>
  <c r="AS77" i="27"/>
  <c r="BB77" i="27" s="1"/>
  <c r="AS134" i="27"/>
  <c r="BB134" i="27" s="1"/>
  <c r="AU16" i="27"/>
  <c r="BC16" i="27" s="1"/>
  <c r="AU23" i="27"/>
  <c r="BC23" i="27" s="1"/>
  <c r="AU188" i="27"/>
  <c r="BC188" i="27" s="1"/>
  <c r="AU66" i="27"/>
  <c r="BC66" i="27" s="1"/>
  <c r="AU138" i="27"/>
  <c r="BC138" i="27" s="1"/>
  <c r="AS142" i="27"/>
  <c r="BB142" i="27" s="1"/>
  <c r="AS164" i="27"/>
  <c r="BB164" i="27" s="1"/>
  <c r="AU141" i="27"/>
  <c r="BC141" i="27" s="1"/>
  <c r="AU95" i="27"/>
  <c r="BC95" i="27" s="1"/>
  <c r="AS50" i="27"/>
  <c r="BB50" i="27" s="1"/>
  <c r="AU77" i="27"/>
  <c r="BC77" i="27" s="1"/>
  <c r="AU75" i="27"/>
  <c r="BC75" i="27" s="1"/>
  <c r="AU119" i="27"/>
  <c r="BC119" i="27" s="1"/>
  <c r="AS185" i="27"/>
  <c r="BB185" i="27" s="1"/>
  <c r="AS117" i="27"/>
  <c r="BB117" i="27" s="1"/>
  <c r="AS159" i="27"/>
  <c r="BB159" i="27" s="1"/>
  <c r="AU68" i="27"/>
  <c r="BC68" i="27" s="1"/>
  <c r="AU99" i="27"/>
  <c r="BC99" i="27" s="1"/>
  <c r="AS169" i="27"/>
  <c r="BB169" i="27" s="1"/>
  <c r="AS69" i="27"/>
  <c r="BB69" i="27" s="1"/>
  <c r="AS71" i="27"/>
  <c r="BB71" i="27" s="1"/>
  <c r="AU177" i="27"/>
  <c r="BC177" i="27" s="1"/>
  <c r="AS91" i="27"/>
  <c r="BB91" i="27" s="1"/>
  <c r="AU149" i="27"/>
  <c r="BC149" i="27" s="1"/>
  <c r="AU56" i="27"/>
  <c r="BC56" i="27" s="1"/>
  <c r="AS15" i="27"/>
  <c r="BB15" i="27" s="1"/>
  <c r="AU117" i="27"/>
  <c r="BC117" i="27" s="1"/>
  <c r="AS67" i="27"/>
  <c r="BB67" i="27" s="1"/>
  <c r="AS78" i="27"/>
  <c r="BB78" i="27" s="1"/>
  <c r="AS133" i="27"/>
  <c r="BB133" i="27" s="1"/>
  <c r="AU4" i="27"/>
  <c r="BC4" i="27" s="1"/>
  <c r="AU189" i="27"/>
  <c r="BC189" i="27" s="1"/>
  <c r="AU67" i="27"/>
  <c r="BC67" i="27" s="1"/>
  <c r="AU137" i="27"/>
  <c r="BC137" i="27" s="1"/>
  <c r="AS163" i="27"/>
  <c r="BB163" i="27" s="1"/>
  <c r="AS140" i="27"/>
  <c r="BB140" i="27" s="1"/>
  <c r="AS59" i="27"/>
  <c r="BB59" i="27" s="1"/>
  <c r="AU163" i="27"/>
  <c r="BC163" i="27" s="1"/>
  <c r="AU130" i="27"/>
  <c r="BC130" i="27" s="1"/>
  <c r="AS28" i="27"/>
  <c r="BB28" i="27" s="1"/>
  <c r="AS82" i="27"/>
  <c r="BB82" i="27" s="1"/>
  <c r="AU80" i="27"/>
  <c r="BC80" i="27" s="1"/>
  <c r="AU145" i="27"/>
  <c r="BC145" i="27" s="1"/>
  <c r="AS187" i="27"/>
  <c r="BB187" i="27" s="1"/>
  <c r="AS179" i="27"/>
  <c r="BB179" i="27" s="1"/>
  <c r="AU46" i="27"/>
  <c r="BC46" i="27" s="1"/>
  <c r="AU169" i="27"/>
  <c r="BC169" i="27" s="1"/>
  <c r="AS143" i="27"/>
  <c r="BB143" i="27" s="1"/>
  <c r="AS5" i="27"/>
  <c r="BB5" i="27" s="1"/>
  <c r="AS119" i="27"/>
  <c r="BB119" i="27" s="1"/>
  <c r="AU70" i="27"/>
  <c r="BC70" i="27" s="1"/>
  <c r="AU73" i="27"/>
  <c r="BC73" i="27" s="1"/>
  <c r="AU58" i="27"/>
  <c r="BC58" i="27" s="1"/>
  <c r="AU159" i="27"/>
  <c r="BC159" i="27" s="1"/>
  <c r="AS73" i="27"/>
  <c r="BB73" i="27" s="1"/>
  <c r="AU178" i="27"/>
  <c r="BC178" i="27" s="1"/>
  <c r="AS110" i="27"/>
  <c r="BB110" i="27" s="1"/>
  <c r="AS90" i="27"/>
  <c r="BB90" i="27" s="1"/>
  <c r="AU90" i="27"/>
  <c r="BC90" i="27" s="1"/>
  <c r="AU150" i="27"/>
  <c r="BC150" i="27" s="1"/>
  <c r="AS22" i="27"/>
  <c r="BB22" i="27" s="1"/>
  <c r="AU114" i="27"/>
  <c r="BC114" i="27" s="1"/>
  <c r="AS60" i="27"/>
  <c r="BB60" i="27" s="1"/>
  <c r="AS79" i="27"/>
  <c r="BB79" i="27" s="1"/>
  <c r="AS152" i="27"/>
  <c r="AU127" i="27"/>
  <c r="BC127" i="27" s="1"/>
  <c r="AU6" i="27"/>
  <c r="BC6" i="27" s="1"/>
  <c r="AU10" i="27"/>
  <c r="BC10" i="27" s="1"/>
  <c r="AU190" i="27"/>
  <c r="BC190" i="27" s="1"/>
  <c r="AS123" i="27"/>
  <c r="BB123" i="27" s="1"/>
  <c r="AS162" i="27"/>
  <c r="BB162" i="27" s="1"/>
  <c r="AU122" i="27"/>
  <c r="BC122" i="27" s="1"/>
  <c r="AU142" i="27"/>
  <c r="BC142" i="27" s="1"/>
  <c r="AS48" i="27"/>
  <c r="BB48" i="27" s="1"/>
  <c r="AU28" i="27"/>
  <c r="BC28" i="27" s="1"/>
  <c r="AS84" i="27"/>
  <c r="BB84" i="27" s="1"/>
  <c r="AU143" i="27"/>
  <c r="BC143" i="27" s="1"/>
  <c r="AU88" i="27"/>
  <c r="BC88" i="27" s="1"/>
  <c r="AU146" i="27"/>
  <c r="BC146" i="27" s="1"/>
  <c r="AS121" i="27"/>
  <c r="BB121" i="27" s="1"/>
  <c r="AU35" i="27"/>
  <c r="BC35" i="27" s="1"/>
  <c r="AS184" i="27"/>
  <c r="BB184" i="27" s="1"/>
  <c r="AU45" i="27"/>
  <c r="BC45" i="27" s="1"/>
  <c r="AU49" i="27"/>
  <c r="BC49" i="27" s="1"/>
  <c r="AU168" i="27"/>
  <c r="BC168" i="27" s="1"/>
  <c r="AS144" i="27"/>
  <c r="BB144" i="27" s="1"/>
  <c r="AU72" i="27"/>
  <c r="BC72" i="27" s="1"/>
  <c r="AU71" i="27"/>
  <c r="BC71" i="27" s="1"/>
  <c r="AU59" i="27"/>
  <c r="BC59" i="27" s="1"/>
  <c r="AU158" i="27"/>
  <c r="BC158" i="27" s="1"/>
  <c r="AU179" i="27"/>
  <c r="BC179" i="27" s="1"/>
  <c r="AU166" i="27"/>
  <c r="BC166" i="27" s="1"/>
  <c r="AS109" i="27"/>
  <c r="BB109" i="27" s="1"/>
  <c r="AS147" i="27"/>
  <c r="BB147" i="27" s="1"/>
  <c r="AU91" i="27"/>
  <c r="BC91" i="27" s="1"/>
  <c r="AU147" i="27"/>
  <c r="BC147" i="27" s="1"/>
  <c r="AS23" i="27"/>
  <c r="BB23" i="27" s="1"/>
  <c r="AU115" i="27"/>
  <c r="BC115" i="27" s="1"/>
  <c r="AS94" i="27"/>
  <c r="BB94" i="27" s="1"/>
  <c r="AS125" i="27"/>
  <c r="BB125" i="27" s="1"/>
  <c r="AS76" i="27"/>
  <c r="BB76" i="27" s="1"/>
  <c r="AS153" i="27"/>
  <c r="AU128" i="27"/>
  <c r="BC128" i="27" s="1"/>
  <c r="AU191" i="27"/>
  <c r="BC191" i="27" s="1"/>
  <c r="AU144" i="27"/>
  <c r="BC144" i="27" s="1"/>
  <c r="AU51" i="27"/>
  <c r="BC51" i="27" s="1"/>
  <c r="AS183" i="27"/>
  <c r="BB183" i="27" s="1"/>
  <c r="AS12" i="27"/>
  <c r="BB12" i="27" s="1"/>
  <c r="AS120" i="27"/>
  <c r="BB120" i="27" s="1"/>
  <c r="AS180" i="27"/>
  <c r="BB180" i="27" s="1"/>
  <c r="AS186" i="27"/>
  <c r="BB186" i="27" s="1"/>
  <c r="AS178" i="27"/>
  <c r="BB178" i="27" s="1"/>
  <c r="AU50" i="27"/>
  <c r="BC50" i="27" s="1"/>
  <c r="AU48" i="27"/>
  <c r="BC48" i="27" s="1"/>
  <c r="AS4" i="27"/>
  <c r="BB4" i="27" s="1"/>
  <c r="AS7" i="27"/>
  <c r="BB7" i="27" s="1"/>
  <c r="AS189" i="27"/>
  <c r="BB189" i="27" s="1"/>
  <c r="AU102" i="27"/>
  <c r="BC102" i="27" s="1"/>
  <c r="AS161" i="27"/>
  <c r="BB161" i="27" s="1"/>
  <c r="AU83" i="27"/>
  <c r="BC83" i="27" s="1"/>
  <c r="AS157" i="27"/>
  <c r="BB157" i="27" s="1"/>
  <c r="AS74" i="27"/>
  <c r="BB74" i="27" s="1"/>
  <c r="AU182" i="27"/>
  <c r="BC182" i="27" s="1"/>
  <c r="AU167" i="27"/>
  <c r="BC167" i="27" s="1"/>
  <c r="AS111" i="27"/>
  <c r="BB111" i="27" s="1"/>
  <c r="AS148" i="27"/>
  <c r="BB148" i="27" s="1"/>
  <c r="AU148" i="27"/>
  <c r="BC148" i="27" s="1"/>
  <c r="AU97" i="27"/>
  <c r="BC97" i="27" s="1"/>
  <c r="AS55" i="27"/>
  <c r="BB55" i="27" s="1"/>
  <c r="AS62" i="27"/>
  <c r="BB62" i="27" s="1"/>
  <c r="AS126" i="27"/>
  <c r="BB126" i="27" s="1"/>
  <c r="AS57" i="27"/>
  <c r="BB57" i="27" s="1"/>
  <c r="AU94" i="27"/>
  <c r="BC94" i="27" s="1"/>
  <c r="AS141" i="27"/>
  <c r="BB141" i="27" s="1"/>
  <c r="AU131" i="27"/>
  <c r="BC131" i="27" s="1"/>
  <c r="BD75" i="27"/>
  <c r="AU22" i="27"/>
  <c r="BC22" i="27" s="1"/>
  <c r="AU140" i="27"/>
  <c r="BC140" i="27" s="1"/>
  <c r="AU107" i="27"/>
  <c r="BC107" i="27" s="1"/>
  <c r="AS45" i="27"/>
  <c r="BB45" i="27" s="1"/>
  <c r="AU76" i="27"/>
  <c r="BC76" i="27" s="1"/>
  <c r="AU108" i="27"/>
  <c r="BC108" i="27" s="1"/>
  <c r="AU164" i="27"/>
  <c r="BC164" i="27" s="1"/>
  <c r="AS35" i="27"/>
  <c r="BB35" i="27" s="1"/>
  <c r="BM105" i="7"/>
  <c r="BM9" i="7"/>
  <c r="BM175" i="7"/>
  <c r="BM29" i="7"/>
  <c r="BM197" i="7"/>
  <c r="BM40" i="7"/>
  <c r="BM104" i="7"/>
  <c r="BM39" i="7"/>
  <c r="BM8" i="7"/>
  <c r="C8" i="27"/>
  <c r="BM30" i="7"/>
  <c r="BM154" i="7"/>
  <c r="BM43" i="7"/>
  <c r="BM33" i="7"/>
  <c r="BM24" i="7"/>
  <c r="BM174" i="7"/>
  <c r="BM26" i="7"/>
  <c r="BM103" i="7"/>
  <c r="BM38" i="7"/>
  <c r="BM27" i="7"/>
  <c r="BM3" i="7"/>
  <c r="BM173" i="7"/>
  <c r="BM53" i="7"/>
  <c r="BM37" i="7"/>
  <c r="BM2" i="7"/>
  <c r="BM170" i="7"/>
  <c r="BM44" i="7"/>
  <c r="BM34" i="7"/>
  <c r="BM25" i="7"/>
  <c r="BD155" i="7"/>
  <c r="BB155" i="7"/>
  <c r="BB197" i="7"/>
  <c r="BD197" i="7"/>
  <c r="BD11" i="7"/>
  <c r="BK11" i="7" s="1"/>
  <c r="BB11" i="7"/>
  <c r="BL11" i="7" s="1"/>
  <c r="P33" i="14"/>
  <c r="P31" i="14"/>
  <c r="AX197" i="7"/>
  <c r="AV197" i="7"/>
  <c r="AT197" i="7"/>
  <c r="AZ197" i="7"/>
  <c r="AV155" i="7"/>
  <c r="AZ155" i="7"/>
  <c r="AX155" i="7"/>
  <c r="AT155" i="7"/>
  <c r="AP192" i="7"/>
  <c r="AR192" i="7"/>
  <c r="AQ192" i="7"/>
  <c r="AP194" i="7"/>
  <c r="AQ194" i="7"/>
  <c r="AR194" i="7"/>
  <c r="AP193" i="7"/>
  <c r="AQ193" i="7"/>
  <c r="AR193" i="7"/>
  <c r="AP195" i="7"/>
  <c r="AQ195" i="7"/>
  <c r="AR195" i="7"/>
  <c r="AP174" i="7"/>
  <c r="AQ174" i="7"/>
  <c r="AP196" i="7"/>
  <c r="AR196" i="7"/>
  <c r="AQ196" i="7"/>
  <c r="AN97" i="7"/>
  <c r="H79" i="7"/>
  <c r="H165" i="7"/>
  <c r="BB151" i="27" l="1"/>
  <c r="BD151" i="27" s="1"/>
  <c r="BB153" i="27"/>
  <c r="BD153" i="27" s="1"/>
  <c r="BB152" i="27"/>
  <c r="BD152" i="27" s="1"/>
  <c r="BD79" i="27"/>
  <c r="BD134" i="27"/>
  <c r="BD77" i="27"/>
  <c r="BD76" i="27"/>
  <c r="BD78" i="27"/>
  <c r="BD133" i="27"/>
  <c r="BD102" i="27"/>
  <c r="BD131" i="27"/>
  <c r="BD80" i="27"/>
  <c r="BD132" i="27"/>
  <c r="C9" i="27"/>
  <c r="BD196" i="7"/>
  <c r="BK196" i="7" s="1"/>
  <c r="BB196" i="7"/>
  <c r="BL196" i="7" s="1"/>
  <c r="BD194" i="7"/>
  <c r="BK194" i="7" s="1"/>
  <c r="BB194" i="7"/>
  <c r="BL194" i="7" s="1"/>
  <c r="BB192" i="7"/>
  <c r="BL192" i="7" s="1"/>
  <c r="BD192" i="7"/>
  <c r="BK192" i="7" s="1"/>
  <c r="BD195" i="7"/>
  <c r="BK195" i="7" s="1"/>
  <c r="BB195" i="7"/>
  <c r="BL195" i="7" s="1"/>
  <c r="BD193" i="7"/>
  <c r="BK193" i="7" s="1"/>
  <c r="BB193" i="7"/>
  <c r="BL193" i="7" s="1"/>
  <c r="AZ192" i="7"/>
  <c r="BI192" i="7" s="1"/>
  <c r="AV192" i="7"/>
  <c r="BG192" i="7" s="1"/>
  <c r="AX192" i="7"/>
  <c r="BJ192" i="7" s="1"/>
  <c r="AT192" i="7"/>
  <c r="BH192" i="7" s="1"/>
  <c r="AZ193" i="7"/>
  <c r="BI193" i="7" s="1"/>
  <c r="AX193" i="7"/>
  <c r="BJ193" i="7" s="1"/>
  <c r="AT193" i="7"/>
  <c r="BH193" i="7" s="1"/>
  <c r="AV193" i="7"/>
  <c r="BG193" i="7" s="1"/>
  <c r="AZ195" i="7"/>
  <c r="BI195" i="7" s="1"/>
  <c r="AX195" i="7"/>
  <c r="BJ195" i="7" s="1"/>
  <c r="AV195" i="7"/>
  <c r="BG195" i="7" s="1"/>
  <c r="AT195" i="7"/>
  <c r="BH195" i="7" s="1"/>
  <c r="AZ194" i="7"/>
  <c r="BI194" i="7" s="1"/>
  <c r="AV194" i="7"/>
  <c r="BG194" i="7" s="1"/>
  <c r="AX194" i="7"/>
  <c r="BJ194" i="7" s="1"/>
  <c r="AT194" i="7"/>
  <c r="BH194" i="7" s="1"/>
  <c r="AV196" i="7"/>
  <c r="BG196" i="7" s="1"/>
  <c r="AT196" i="7"/>
  <c r="BH196" i="7" s="1"/>
  <c r="AZ196" i="7"/>
  <c r="BI196" i="7" s="1"/>
  <c r="AX196" i="7"/>
  <c r="BJ196" i="7" s="1"/>
  <c r="V102" i="7"/>
  <c r="V96" i="7"/>
  <c r="V95" i="7"/>
  <c r="AN15" i="7"/>
  <c r="BM194" i="7" l="1"/>
  <c r="C10" i="27"/>
  <c r="BM192" i="7"/>
  <c r="BM195" i="7"/>
  <c r="BM196" i="7"/>
  <c r="BM193" i="7"/>
  <c r="AN75" i="7"/>
  <c r="AN76" i="7"/>
  <c r="AN77" i="7"/>
  <c r="AN78" i="7"/>
  <c r="AN79" i="7"/>
  <c r="AO79" i="7"/>
  <c r="AN73" i="7"/>
  <c r="AN74" i="7"/>
  <c r="AN72" i="7"/>
  <c r="C11" i="27" l="1"/>
  <c r="AQ79" i="7"/>
  <c r="AR79" i="7"/>
  <c r="AP79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6" i="7"/>
  <c r="H157" i="7"/>
  <c r="H158" i="7"/>
  <c r="H159" i="7"/>
  <c r="H160" i="7"/>
  <c r="H161" i="7"/>
  <c r="H162" i="7"/>
  <c r="H163" i="7"/>
  <c r="H164" i="7"/>
  <c r="H166" i="7"/>
  <c r="H167" i="7"/>
  <c r="H168" i="7"/>
  <c r="H169" i="7"/>
  <c r="H170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B174" i="20"/>
  <c r="B175" i="20"/>
  <c r="B176" i="20"/>
  <c r="B177" i="20"/>
  <c r="B178" i="20"/>
  <c r="B179" i="20" s="1"/>
  <c r="B180" i="20" s="1"/>
  <c r="B181" i="20" s="1"/>
  <c r="B182" i="20" s="1"/>
  <c r="B183" i="20" s="1"/>
  <c r="B184" i="20" s="1"/>
  <c r="B185" i="20" s="1"/>
  <c r="B186" i="20" s="1"/>
  <c r="B187" i="20"/>
  <c r="B188" i="20"/>
  <c r="B189" i="20"/>
  <c r="B190" i="20" s="1"/>
  <c r="A174" i="20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O174" i="7"/>
  <c r="AR174" i="7" s="1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194" i="20"/>
  <c r="B149" i="20"/>
  <c r="B150" i="20" s="1"/>
  <c r="B151" i="20" s="1"/>
  <c r="C12" i="27" l="1"/>
  <c r="BB174" i="7"/>
  <c r="BD174" i="7"/>
  <c r="BB79" i="7"/>
  <c r="BL79" i="7" s="1"/>
  <c r="BD79" i="7"/>
  <c r="BK79" i="7" s="1"/>
  <c r="AV174" i="7"/>
  <c r="AZ174" i="7"/>
  <c r="AT174" i="7"/>
  <c r="AX174" i="7"/>
  <c r="AX79" i="7"/>
  <c r="BJ79" i="7" s="1"/>
  <c r="AZ79" i="7"/>
  <c r="BI79" i="7" s="1"/>
  <c r="J4" i="18"/>
  <c r="J5" i="18"/>
  <c r="J6" i="18"/>
  <c r="J7" i="18"/>
  <c r="J8" i="18"/>
  <c r="B172" i="20"/>
  <c r="B173" i="20" s="1"/>
  <c r="B170" i="20"/>
  <c r="B171" i="20" s="1"/>
  <c r="B169" i="20"/>
  <c r="B165" i="20"/>
  <c r="B166" i="20" s="1"/>
  <c r="B167" i="20" s="1"/>
  <c r="B168" i="20" s="1"/>
  <c r="B164" i="20"/>
  <c r="B161" i="20"/>
  <c r="B162" i="20" s="1"/>
  <c r="B163" i="20" s="1"/>
  <c r="B155" i="20"/>
  <c r="B156" i="20" s="1"/>
  <c r="B157" i="20" s="1"/>
  <c r="B158" i="20" s="1"/>
  <c r="B159" i="20" s="1"/>
  <c r="B160" i="20" s="1"/>
  <c r="B154" i="20"/>
  <c r="B152" i="20"/>
  <c r="B153" i="20" s="1"/>
  <c r="B129" i="20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28" i="20"/>
  <c r="B125" i="20"/>
  <c r="B126" i="20" s="1"/>
  <c r="B127" i="20" s="1"/>
  <c r="B123" i="20"/>
  <c r="B124" i="20" s="1"/>
  <c r="B120" i="20"/>
  <c r="B121" i="20" s="1"/>
  <c r="B122" i="20" s="1"/>
  <c r="J3" i="18"/>
  <c r="E32" i="21"/>
  <c r="L30" i="21"/>
  <c r="L27" i="21"/>
  <c r="L28" i="21"/>
  <c r="L29" i="21"/>
  <c r="AF83" i="22"/>
  <c r="AF82" i="22"/>
  <c r="AF81" i="22"/>
  <c r="M7" i="21"/>
  <c r="L7" i="21"/>
  <c r="K7" i="21"/>
  <c r="M6" i="21"/>
  <c r="L6" i="21"/>
  <c r="K6" i="21"/>
  <c r="M5" i="21"/>
  <c r="L5" i="21"/>
  <c r="K5" i="21"/>
  <c r="E18" i="21" s="1"/>
  <c r="M4" i="21"/>
  <c r="L4" i="21"/>
  <c r="K4" i="21"/>
  <c r="E17" i="21" s="1"/>
  <c r="D7" i="21"/>
  <c r="D31" i="21" s="1"/>
  <c r="D6" i="21"/>
  <c r="D30" i="21" s="1"/>
  <c r="D5" i="21"/>
  <c r="D29" i="21" s="1"/>
  <c r="D4" i="21"/>
  <c r="B60" i="22"/>
  <c r="B61" i="22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/>
  <c r="B74" i="22"/>
  <c r="B75" i="22" s="1"/>
  <c r="B76" i="22" s="1"/>
  <c r="T76" i="22"/>
  <c r="S76" i="22"/>
  <c r="T75" i="22"/>
  <c r="S75" i="22"/>
  <c r="T74" i="22"/>
  <c r="S74" i="22"/>
  <c r="T73" i="22"/>
  <c r="S73" i="22"/>
  <c r="T72" i="22"/>
  <c r="S72" i="22"/>
  <c r="T71" i="22"/>
  <c r="S71" i="22"/>
  <c r="T70" i="22"/>
  <c r="S70" i="22"/>
  <c r="T69" i="22"/>
  <c r="V69" i="22" s="1"/>
  <c r="S69" i="22"/>
  <c r="T68" i="22"/>
  <c r="S68" i="22"/>
  <c r="T67" i="22"/>
  <c r="V67" i="22" s="1"/>
  <c r="S67" i="22"/>
  <c r="T66" i="22"/>
  <c r="S66" i="22"/>
  <c r="T65" i="22"/>
  <c r="S65" i="22"/>
  <c r="T64" i="22"/>
  <c r="S64" i="22"/>
  <c r="T63" i="22"/>
  <c r="V63" i="22" s="1"/>
  <c r="S63" i="22"/>
  <c r="T62" i="22"/>
  <c r="V62" i="22" s="1"/>
  <c r="S62" i="22"/>
  <c r="T61" i="22"/>
  <c r="V61" i="22" s="1"/>
  <c r="S61" i="22"/>
  <c r="T60" i="22"/>
  <c r="R60" i="22"/>
  <c r="S60" i="22" s="1"/>
  <c r="Z59" i="22"/>
  <c r="X59" i="22"/>
  <c r="T59" i="22"/>
  <c r="U59" i="22" s="1"/>
  <c r="Z58" i="22"/>
  <c r="X58" i="22"/>
  <c r="T58" i="22"/>
  <c r="W58" i="22" s="1"/>
  <c r="Z57" i="22"/>
  <c r="X57" i="22"/>
  <c r="T57" i="22"/>
  <c r="W57" i="22" s="1"/>
  <c r="B57" i="22"/>
  <c r="B58" i="22" s="1"/>
  <c r="B59" i="22" s="1"/>
  <c r="T56" i="22"/>
  <c r="T55" i="22"/>
  <c r="V55" i="22" s="1"/>
  <c r="T54" i="22"/>
  <c r="W54" i="22" s="1"/>
  <c r="T53" i="22"/>
  <c r="B53" i="22"/>
  <c r="B54" i="22" s="1"/>
  <c r="B55" i="22" s="1"/>
  <c r="B56" i="22" s="1"/>
  <c r="T52" i="22"/>
  <c r="S52" i="22"/>
  <c r="T51" i="22"/>
  <c r="S51" i="22"/>
  <c r="B51" i="22"/>
  <c r="B52" i="22" s="1"/>
  <c r="T50" i="22"/>
  <c r="S50" i="22"/>
  <c r="T49" i="22"/>
  <c r="S49" i="22"/>
  <c r="T48" i="22"/>
  <c r="S48" i="22"/>
  <c r="T47" i="22"/>
  <c r="S47" i="22"/>
  <c r="T46" i="22"/>
  <c r="S46" i="22"/>
  <c r="T45" i="22"/>
  <c r="S45" i="22"/>
  <c r="B45" i="22"/>
  <c r="B46" i="22" s="1"/>
  <c r="B47" i="22" s="1"/>
  <c r="B48" i="22" s="1"/>
  <c r="B49" i="22" s="1"/>
  <c r="B50" i="22" s="1"/>
  <c r="T44" i="22"/>
  <c r="S44" i="22"/>
  <c r="T43" i="22"/>
  <c r="S43" i="22"/>
  <c r="T42" i="22"/>
  <c r="S42" i="22"/>
  <c r="T41" i="22"/>
  <c r="S41" i="22"/>
  <c r="T40" i="22"/>
  <c r="S40" i="22"/>
  <c r="T39" i="22"/>
  <c r="S39" i="22"/>
  <c r="T38" i="22"/>
  <c r="S38" i="22"/>
  <c r="T37" i="22"/>
  <c r="S37" i="22"/>
  <c r="B37" i="22"/>
  <c r="B38" i="22" s="1"/>
  <c r="B39" i="22" s="1"/>
  <c r="B40" i="22" s="1"/>
  <c r="B41" i="22" s="1"/>
  <c r="B42" i="22" s="1"/>
  <c r="B43" i="22" s="1"/>
  <c r="B44" i="22" s="1"/>
  <c r="T36" i="22"/>
  <c r="S36" i="22"/>
  <c r="T35" i="22"/>
  <c r="S35" i="22"/>
  <c r="T34" i="22"/>
  <c r="S34" i="22"/>
  <c r="T33" i="22"/>
  <c r="S33" i="22"/>
  <c r="T32" i="22"/>
  <c r="S32" i="22"/>
  <c r="T31" i="22"/>
  <c r="S31" i="22"/>
  <c r="T30" i="22"/>
  <c r="S30" i="22"/>
  <c r="T29" i="22"/>
  <c r="S29" i="22"/>
  <c r="B29" i="22"/>
  <c r="B30" i="22" s="1"/>
  <c r="B31" i="22" s="1"/>
  <c r="B32" i="22" s="1"/>
  <c r="B33" i="22" s="1"/>
  <c r="B34" i="22" s="1"/>
  <c r="B35" i="22" s="1"/>
  <c r="B36" i="22" s="1"/>
  <c r="T28" i="22"/>
  <c r="W28" i="22" s="1"/>
  <c r="B28" i="22"/>
  <c r="T27" i="22"/>
  <c r="V27" i="22" s="1"/>
  <c r="T26" i="22"/>
  <c r="V26" i="22" s="1"/>
  <c r="T25" i="22"/>
  <c r="V25" i="22" s="1"/>
  <c r="T24" i="22"/>
  <c r="V24" i="22" s="1"/>
  <c r="T23" i="22"/>
  <c r="V23" i="22" s="1"/>
  <c r="T22" i="22"/>
  <c r="U22" i="22" s="1"/>
  <c r="T21" i="22"/>
  <c r="U21" i="22" s="1"/>
  <c r="T20" i="22"/>
  <c r="W20" i="22" s="1"/>
  <c r="B20" i="22"/>
  <c r="B21" i="22" s="1"/>
  <c r="B22" i="22" s="1"/>
  <c r="B23" i="22" s="1"/>
  <c r="B24" i="22" s="1"/>
  <c r="B25" i="22" s="1"/>
  <c r="B26" i="22" s="1"/>
  <c r="B27" i="22" s="1"/>
  <c r="T19" i="22"/>
  <c r="S19" i="22"/>
  <c r="T18" i="22"/>
  <c r="V18" i="22" s="1"/>
  <c r="B18" i="22"/>
  <c r="B19" i="22" s="1"/>
  <c r="T17" i="22"/>
  <c r="S17" i="22"/>
  <c r="T16" i="22"/>
  <c r="B16" i="22"/>
  <c r="B17" i="22" s="1"/>
  <c r="T15" i="22"/>
  <c r="V15" i="22" s="1"/>
  <c r="B15" i="22"/>
  <c r="T14" i="22"/>
  <c r="V14" i="22" s="1"/>
  <c r="T13" i="22"/>
  <c r="V13" i="22" s="1"/>
  <c r="B13" i="22"/>
  <c r="B14" i="22" s="1"/>
  <c r="T12" i="22"/>
  <c r="S12" i="22"/>
  <c r="T11" i="22"/>
  <c r="S11" i="22"/>
  <c r="T10" i="22"/>
  <c r="S10" i="22"/>
  <c r="B10" i="22"/>
  <c r="B11" i="22" s="1"/>
  <c r="B12" i="22" s="1"/>
  <c r="T9" i="22"/>
  <c r="U9" i="22" s="1"/>
  <c r="T8" i="22"/>
  <c r="W8" i="22" s="1"/>
  <c r="B8" i="22"/>
  <c r="B9" i="22" s="1"/>
  <c r="T7" i="22"/>
  <c r="V7" i="22" s="1"/>
  <c r="T6" i="22"/>
  <c r="W6" i="22" s="1"/>
  <c r="T5" i="22"/>
  <c r="W5" i="22" s="1"/>
  <c r="B5" i="22"/>
  <c r="B6" i="22" s="1"/>
  <c r="B7" i="22" s="1"/>
  <c r="T4" i="22"/>
  <c r="W4" i="22" s="1"/>
  <c r="B4" i="22"/>
  <c r="T3" i="22"/>
  <c r="W3" i="22" s="1"/>
  <c r="B3" i="22"/>
  <c r="A3" i="22"/>
  <c r="A4" i="22" s="1"/>
  <c r="A5" i="22" s="1"/>
  <c r="T2" i="22"/>
  <c r="V2" i="22" s="1"/>
  <c r="C2" i="22"/>
  <c r="C7" i="21"/>
  <c r="C6" i="21"/>
  <c r="C5" i="21"/>
  <c r="C4" i="21"/>
  <c r="D34" i="14"/>
  <c r="T173" i="20"/>
  <c r="R173" i="20"/>
  <c r="S173" i="20" s="1"/>
  <c r="T190" i="20"/>
  <c r="V190" i="20" s="1"/>
  <c r="S190" i="20"/>
  <c r="T189" i="20"/>
  <c r="S189" i="20"/>
  <c r="T188" i="20"/>
  <c r="S188" i="20"/>
  <c r="T187" i="20"/>
  <c r="S187" i="20"/>
  <c r="T186" i="20"/>
  <c r="S186" i="20"/>
  <c r="T185" i="20"/>
  <c r="S185" i="20"/>
  <c r="T184" i="20"/>
  <c r="S184" i="20"/>
  <c r="T183" i="20"/>
  <c r="S183" i="20"/>
  <c r="T182" i="20"/>
  <c r="S182" i="20"/>
  <c r="T181" i="20"/>
  <c r="S181" i="20"/>
  <c r="T180" i="20"/>
  <c r="S180" i="20"/>
  <c r="T179" i="20"/>
  <c r="S179" i="20"/>
  <c r="T178" i="20"/>
  <c r="S178" i="20"/>
  <c r="T177" i="20"/>
  <c r="S177" i="20"/>
  <c r="T176" i="20"/>
  <c r="S176" i="20"/>
  <c r="T175" i="20"/>
  <c r="S175" i="20"/>
  <c r="T174" i="20"/>
  <c r="R174" i="20"/>
  <c r="S174" i="20" s="1"/>
  <c r="T172" i="20"/>
  <c r="R172" i="20"/>
  <c r="S172" i="20" s="1"/>
  <c r="T171" i="20"/>
  <c r="W171" i="20" s="1"/>
  <c r="T170" i="20"/>
  <c r="V170" i="20" s="1"/>
  <c r="T169" i="20"/>
  <c r="R169" i="20"/>
  <c r="S169" i="20" s="1"/>
  <c r="T168" i="20"/>
  <c r="S168" i="20"/>
  <c r="T167" i="20"/>
  <c r="S167" i="20"/>
  <c r="T166" i="20"/>
  <c r="S166" i="20"/>
  <c r="T165" i="20"/>
  <c r="S165" i="20"/>
  <c r="T164" i="20"/>
  <c r="R164" i="20"/>
  <c r="S164" i="20" s="1"/>
  <c r="T163" i="20"/>
  <c r="S163" i="20"/>
  <c r="T162" i="20"/>
  <c r="S162" i="20"/>
  <c r="T161" i="20"/>
  <c r="S161" i="20"/>
  <c r="T160" i="20"/>
  <c r="S160" i="20"/>
  <c r="T159" i="20"/>
  <c r="S159" i="20"/>
  <c r="T158" i="20"/>
  <c r="S158" i="20"/>
  <c r="T157" i="20"/>
  <c r="S157" i="20"/>
  <c r="T156" i="20"/>
  <c r="V156" i="20" s="1"/>
  <c r="S156" i="20"/>
  <c r="T155" i="20"/>
  <c r="S155" i="20"/>
  <c r="T154" i="20"/>
  <c r="R154" i="20"/>
  <c r="S154" i="20" s="1"/>
  <c r="AD153" i="20"/>
  <c r="AB153" i="20"/>
  <c r="T153" i="20"/>
  <c r="U153" i="20" s="1"/>
  <c r="S153" i="20"/>
  <c r="AD152" i="20"/>
  <c r="AB152" i="20"/>
  <c r="T152" i="20"/>
  <c r="S152" i="20"/>
  <c r="AD151" i="20"/>
  <c r="AB151" i="20"/>
  <c r="T151" i="20"/>
  <c r="S151" i="20"/>
  <c r="AD150" i="20"/>
  <c r="AB150" i="20"/>
  <c r="T150" i="20"/>
  <c r="V150" i="20" s="1"/>
  <c r="AD149" i="20"/>
  <c r="AB149" i="20"/>
  <c r="T149" i="20"/>
  <c r="W149" i="20" s="1"/>
  <c r="T148" i="20"/>
  <c r="V148" i="20" s="1"/>
  <c r="T147" i="20"/>
  <c r="T146" i="20"/>
  <c r="V146" i="20" s="1"/>
  <c r="T145" i="20"/>
  <c r="U145" i="20" s="1"/>
  <c r="T144" i="20"/>
  <c r="W144" i="20" s="1"/>
  <c r="T143" i="20"/>
  <c r="U143" i="20" s="1"/>
  <c r="T142" i="20"/>
  <c r="V142" i="20" s="1"/>
  <c r="T141" i="20"/>
  <c r="W141" i="20" s="1"/>
  <c r="T140" i="20"/>
  <c r="W140" i="20" s="1"/>
  <c r="T139" i="20"/>
  <c r="V139" i="20" s="1"/>
  <c r="T138" i="20"/>
  <c r="W138" i="20" s="1"/>
  <c r="T137" i="20"/>
  <c r="W137" i="20" s="1"/>
  <c r="T136" i="20"/>
  <c r="V136" i="20" s="1"/>
  <c r="T135" i="20"/>
  <c r="U135" i="20" s="1"/>
  <c r="T134" i="20"/>
  <c r="V134" i="20" s="1"/>
  <c r="T133" i="20"/>
  <c r="W133" i="20" s="1"/>
  <c r="AD132" i="20"/>
  <c r="AB132" i="20"/>
  <c r="T132" i="20"/>
  <c r="W132" i="20" s="1"/>
  <c r="AD131" i="20"/>
  <c r="AB131" i="20"/>
  <c r="T131" i="20"/>
  <c r="W131" i="20" s="1"/>
  <c r="AD130" i="20"/>
  <c r="AB130" i="20"/>
  <c r="T130" i="20"/>
  <c r="W130" i="20" s="1"/>
  <c r="AD129" i="20"/>
  <c r="AB129" i="20"/>
  <c r="T129" i="20"/>
  <c r="W129" i="20" s="1"/>
  <c r="T128" i="20"/>
  <c r="V128" i="20" s="1"/>
  <c r="T127" i="20"/>
  <c r="U127" i="20" s="1"/>
  <c r="T126" i="20"/>
  <c r="W126" i="20" s="1"/>
  <c r="T125" i="20"/>
  <c r="W125" i="20" s="1"/>
  <c r="T124" i="20"/>
  <c r="S124" i="20"/>
  <c r="T123" i="20"/>
  <c r="S123" i="20"/>
  <c r="T122" i="20"/>
  <c r="S122" i="20"/>
  <c r="T121" i="20"/>
  <c r="T120" i="20"/>
  <c r="V120" i="20" s="1"/>
  <c r="T119" i="20"/>
  <c r="V119" i="20" s="1"/>
  <c r="B119" i="20"/>
  <c r="T118" i="20"/>
  <c r="U118" i="20" s="1"/>
  <c r="T117" i="20"/>
  <c r="W117" i="20" s="1"/>
  <c r="T116" i="20"/>
  <c r="T115" i="20"/>
  <c r="T114" i="20"/>
  <c r="W114" i="20" s="1"/>
  <c r="T113" i="20"/>
  <c r="W113" i="20" s="1"/>
  <c r="B113" i="20"/>
  <c r="B114" i="20" s="1"/>
  <c r="B115" i="20" s="1"/>
  <c r="B116" i="20" s="1"/>
  <c r="B117" i="20" s="1"/>
  <c r="B118" i="20" s="1"/>
  <c r="T112" i="20"/>
  <c r="R112" i="20"/>
  <c r="S112" i="20" s="1"/>
  <c r="T111" i="20"/>
  <c r="W111" i="20" s="1"/>
  <c r="T110" i="20"/>
  <c r="W110" i="20" s="1"/>
  <c r="T109" i="20"/>
  <c r="V109" i="20" s="1"/>
  <c r="T108" i="20"/>
  <c r="U108" i="20" s="1"/>
  <c r="B108" i="20"/>
  <c r="B109" i="20" s="1"/>
  <c r="B110" i="20" s="1"/>
  <c r="B111" i="20" s="1"/>
  <c r="B112" i="20" s="1"/>
  <c r="T107" i="20"/>
  <c r="W107" i="20" s="1"/>
  <c r="T106" i="20"/>
  <c r="R106" i="20"/>
  <c r="S106" i="20" s="1"/>
  <c r="T105" i="20"/>
  <c r="R105" i="20"/>
  <c r="S105" i="20" s="1"/>
  <c r="B105" i="20"/>
  <c r="B106" i="20" s="1"/>
  <c r="B107" i="20" s="1"/>
  <c r="T104" i="20"/>
  <c r="W104" i="20" s="1"/>
  <c r="T103" i="20"/>
  <c r="S103" i="20"/>
  <c r="T102" i="20"/>
  <c r="V102" i="20" s="1"/>
  <c r="B102" i="20"/>
  <c r="B103" i="20" s="1"/>
  <c r="B104" i="20" s="1"/>
  <c r="AD101" i="20"/>
  <c r="AB101" i="20"/>
  <c r="Z101" i="20"/>
  <c r="X101" i="20"/>
  <c r="T101" i="20"/>
  <c r="S101" i="20"/>
  <c r="B101" i="20"/>
  <c r="Z100" i="20"/>
  <c r="X100" i="20"/>
  <c r="T100" i="20"/>
  <c r="U100" i="20" s="1"/>
  <c r="Z99" i="20"/>
  <c r="X99" i="20"/>
  <c r="T99" i="20"/>
  <c r="W99" i="20" s="1"/>
  <c r="B99" i="20"/>
  <c r="B100" i="20" s="1"/>
  <c r="T98" i="20"/>
  <c r="W98" i="20" s="1"/>
  <c r="B98" i="20"/>
  <c r="T97" i="20"/>
  <c r="W97" i="20" s="1"/>
  <c r="T96" i="20"/>
  <c r="U96" i="20" s="1"/>
  <c r="B96" i="20"/>
  <c r="B97" i="20" s="1"/>
  <c r="T95" i="20"/>
  <c r="S95" i="20"/>
  <c r="T94" i="20"/>
  <c r="S94" i="20"/>
  <c r="B94" i="20"/>
  <c r="B95" i="20" s="1"/>
  <c r="T93" i="20"/>
  <c r="W93" i="20" s="1"/>
  <c r="B93" i="20"/>
  <c r="Z92" i="20"/>
  <c r="X92" i="20"/>
  <c r="T92" i="20"/>
  <c r="W92" i="20" s="1"/>
  <c r="Z91" i="20"/>
  <c r="X91" i="20"/>
  <c r="T91" i="20"/>
  <c r="V91" i="20" s="1"/>
  <c r="B91" i="20"/>
  <c r="B92" i="20" s="1"/>
  <c r="T90" i="20"/>
  <c r="U90" i="20" s="1"/>
  <c r="T89" i="20"/>
  <c r="W89" i="20" s="1"/>
  <c r="T88" i="20"/>
  <c r="W88" i="20" s="1"/>
  <c r="B88" i="20"/>
  <c r="B89" i="20" s="1"/>
  <c r="B90" i="20" s="1"/>
  <c r="T87" i="20"/>
  <c r="W87" i="20" s="1"/>
  <c r="B87" i="20"/>
  <c r="AD86" i="20"/>
  <c r="AB86" i="20"/>
  <c r="Z86" i="20"/>
  <c r="X86" i="20"/>
  <c r="T86" i="20"/>
  <c r="U86" i="20" s="1"/>
  <c r="AD85" i="20"/>
  <c r="AB85" i="20"/>
  <c r="Z85" i="20"/>
  <c r="X85" i="20"/>
  <c r="T85" i="20"/>
  <c r="W85" i="20" s="1"/>
  <c r="B85" i="20"/>
  <c r="B86" i="20" s="1"/>
  <c r="T84" i="20"/>
  <c r="W84" i="20" s="1"/>
  <c r="T83" i="20"/>
  <c r="V83" i="20" s="1"/>
  <c r="T82" i="20"/>
  <c r="U82" i="20" s="1"/>
  <c r="T81" i="20"/>
  <c r="W81" i="20" s="1"/>
  <c r="B81" i="20"/>
  <c r="B82" i="20" s="1"/>
  <c r="B83" i="20" s="1"/>
  <c r="B84" i="20" s="1"/>
  <c r="T80" i="20"/>
  <c r="W80" i="20" s="1"/>
  <c r="B80" i="20"/>
  <c r="AD79" i="20"/>
  <c r="AB79" i="20"/>
  <c r="T79" i="20"/>
  <c r="W79" i="20" s="1"/>
  <c r="AD78" i="20"/>
  <c r="AB78" i="20"/>
  <c r="T78" i="20"/>
  <c r="U78" i="20" s="1"/>
  <c r="AD77" i="20"/>
  <c r="AB77" i="20"/>
  <c r="T77" i="20"/>
  <c r="W77" i="20" s="1"/>
  <c r="AD76" i="20"/>
  <c r="AB76" i="20"/>
  <c r="T76" i="20"/>
  <c r="W76" i="20" s="1"/>
  <c r="AD75" i="20"/>
  <c r="AB75" i="20"/>
  <c r="T75" i="20"/>
  <c r="V75" i="20" s="1"/>
  <c r="B75" i="20"/>
  <c r="B76" i="20" s="1"/>
  <c r="B77" i="20" s="1"/>
  <c r="B78" i="20" s="1"/>
  <c r="B79" i="20" s="1"/>
  <c r="T74" i="20"/>
  <c r="U74" i="20" s="1"/>
  <c r="T73" i="20"/>
  <c r="W73" i="20" s="1"/>
  <c r="T72" i="20"/>
  <c r="W72" i="20" s="1"/>
  <c r="T71" i="20"/>
  <c r="V71" i="20" s="1"/>
  <c r="T70" i="20"/>
  <c r="U70" i="20" s="1"/>
  <c r="T69" i="20"/>
  <c r="W69" i="20" s="1"/>
  <c r="T68" i="20"/>
  <c r="W68" i="20" s="1"/>
  <c r="B68" i="20"/>
  <c r="B69" i="20" s="1"/>
  <c r="B70" i="20" s="1"/>
  <c r="B71" i="20" s="1"/>
  <c r="B72" i="20" s="1"/>
  <c r="B73" i="20" s="1"/>
  <c r="B74" i="20" s="1"/>
  <c r="T67" i="20"/>
  <c r="S67" i="20"/>
  <c r="T66" i="20"/>
  <c r="S66" i="20"/>
  <c r="T65" i="20"/>
  <c r="S65" i="20"/>
  <c r="T64" i="20"/>
  <c r="S64" i="20"/>
  <c r="T63" i="20"/>
  <c r="S63" i="20"/>
  <c r="T62" i="20"/>
  <c r="S62" i="20"/>
  <c r="B62" i="20"/>
  <c r="B63" i="20" s="1"/>
  <c r="B64" i="20" s="1"/>
  <c r="B65" i="20" s="1"/>
  <c r="B66" i="20" s="1"/>
  <c r="B67" i="20" s="1"/>
  <c r="Z61" i="20"/>
  <c r="X61" i="20"/>
  <c r="T61" i="20"/>
  <c r="T60" i="20"/>
  <c r="U60" i="20" s="1"/>
  <c r="B60" i="20"/>
  <c r="B61" i="20" s="1"/>
  <c r="Z59" i="20"/>
  <c r="X59" i="20"/>
  <c r="T59" i="20"/>
  <c r="W59" i="20" s="1"/>
  <c r="Z58" i="20"/>
  <c r="X58" i="20"/>
  <c r="T58" i="20"/>
  <c r="W58" i="20" s="1"/>
  <c r="Z57" i="20"/>
  <c r="X57" i="20"/>
  <c r="T57" i="20"/>
  <c r="W57" i="20" s="1"/>
  <c r="B57" i="20"/>
  <c r="B58" i="20" s="1"/>
  <c r="B59" i="20" s="1"/>
  <c r="T56" i="20"/>
  <c r="U56" i="20" s="1"/>
  <c r="T55" i="20"/>
  <c r="W55" i="20" s="1"/>
  <c r="T54" i="20"/>
  <c r="W54" i="20" s="1"/>
  <c r="T53" i="20"/>
  <c r="V53" i="20" s="1"/>
  <c r="B53" i="20"/>
  <c r="B54" i="20" s="1"/>
  <c r="B55" i="20" s="1"/>
  <c r="B56" i="20" s="1"/>
  <c r="T52" i="20"/>
  <c r="S52" i="20"/>
  <c r="T51" i="20"/>
  <c r="S51" i="20"/>
  <c r="B51" i="20"/>
  <c r="B52" i="20" s="1"/>
  <c r="T50" i="20"/>
  <c r="S50" i="20"/>
  <c r="T49" i="20"/>
  <c r="S49" i="20"/>
  <c r="T48" i="20"/>
  <c r="S48" i="20"/>
  <c r="T47" i="20"/>
  <c r="S47" i="20"/>
  <c r="T46" i="20"/>
  <c r="S46" i="20"/>
  <c r="T45" i="20"/>
  <c r="S45" i="20"/>
  <c r="B45" i="20"/>
  <c r="B46" i="20" s="1"/>
  <c r="B47" i="20" s="1"/>
  <c r="B48" i="20" s="1"/>
  <c r="B49" i="20" s="1"/>
  <c r="B50" i="20" s="1"/>
  <c r="T44" i="20"/>
  <c r="S44" i="20"/>
  <c r="T43" i="20"/>
  <c r="S43" i="20"/>
  <c r="T42" i="20"/>
  <c r="S42" i="20"/>
  <c r="T41" i="20"/>
  <c r="S41" i="20"/>
  <c r="T40" i="20"/>
  <c r="S40" i="20"/>
  <c r="T39" i="20"/>
  <c r="S39" i="20"/>
  <c r="T38" i="20"/>
  <c r="S38" i="20"/>
  <c r="T37" i="20"/>
  <c r="S37" i="20"/>
  <c r="B37" i="20"/>
  <c r="B38" i="20" s="1"/>
  <c r="B39" i="20" s="1"/>
  <c r="B40" i="20" s="1"/>
  <c r="B41" i="20" s="1"/>
  <c r="B42" i="20" s="1"/>
  <c r="B43" i="20" s="1"/>
  <c r="B44" i="20" s="1"/>
  <c r="T36" i="20"/>
  <c r="S36" i="20"/>
  <c r="T35" i="20"/>
  <c r="S35" i="20"/>
  <c r="T34" i="20"/>
  <c r="S34" i="20"/>
  <c r="T33" i="20"/>
  <c r="S33" i="20"/>
  <c r="T32" i="20"/>
  <c r="S32" i="20"/>
  <c r="T31" i="20"/>
  <c r="S31" i="20"/>
  <c r="T30" i="20"/>
  <c r="S30" i="20"/>
  <c r="T29" i="20"/>
  <c r="W29" i="20" s="1"/>
  <c r="S29" i="20"/>
  <c r="B29" i="20"/>
  <c r="B30" i="20" s="1"/>
  <c r="B31" i="20" s="1"/>
  <c r="B32" i="20" s="1"/>
  <c r="B33" i="20" s="1"/>
  <c r="B34" i="20" s="1"/>
  <c r="B35" i="20" s="1"/>
  <c r="B36" i="20" s="1"/>
  <c r="T28" i="20"/>
  <c r="B28" i="20"/>
  <c r="T27" i="20"/>
  <c r="W27" i="20" s="1"/>
  <c r="T26" i="20"/>
  <c r="T25" i="20"/>
  <c r="V25" i="20" s="1"/>
  <c r="T24" i="20"/>
  <c r="V24" i="20" s="1"/>
  <c r="T23" i="20"/>
  <c r="V23" i="20" s="1"/>
  <c r="T22" i="20"/>
  <c r="T21" i="20"/>
  <c r="V21" i="20" s="1"/>
  <c r="T20" i="20"/>
  <c r="B20" i="20"/>
  <c r="B21" i="20" s="1"/>
  <c r="B22" i="20" s="1"/>
  <c r="B23" i="20" s="1"/>
  <c r="B24" i="20" s="1"/>
  <c r="B25" i="20" s="1"/>
  <c r="B26" i="20" s="1"/>
  <c r="B27" i="20" s="1"/>
  <c r="T19" i="20"/>
  <c r="W19" i="20" s="1"/>
  <c r="S19" i="20"/>
  <c r="T18" i="20"/>
  <c r="V18" i="20" s="1"/>
  <c r="B18" i="20"/>
  <c r="B19" i="20" s="1"/>
  <c r="T17" i="20"/>
  <c r="S17" i="20"/>
  <c r="T16" i="20"/>
  <c r="W16" i="20" s="1"/>
  <c r="B16" i="20"/>
  <c r="B17" i="20" s="1"/>
  <c r="T15" i="20"/>
  <c r="V15" i="20" s="1"/>
  <c r="B15" i="20"/>
  <c r="T14" i="20"/>
  <c r="T13" i="20"/>
  <c r="V13" i="20" s="1"/>
  <c r="B13" i="20"/>
  <c r="B14" i="20" s="1"/>
  <c r="T12" i="20"/>
  <c r="S12" i="20"/>
  <c r="T11" i="20"/>
  <c r="S11" i="20"/>
  <c r="T10" i="20"/>
  <c r="S10" i="20"/>
  <c r="B10" i="20"/>
  <c r="B11" i="20" s="1"/>
  <c r="B12" i="20" s="1"/>
  <c r="T9" i="20"/>
  <c r="T8" i="20"/>
  <c r="W8" i="20" s="1"/>
  <c r="B8" i="20"/>
  <c r="B9" i="20" s="1"/>
  <c r="T7" i="20"/>
  <c r="U7" i="20" s="1"/>
  <c r="T6" i="20"/>
  <c r="W6" i="20" s="1"/>
  <c r="T5" i="20"/>
  <c r="W5" i="20" s="1"/>
  <c r="B5" i="20"/>
  <c r="B6" i="20" s="1"/>
  <c r="B7" i="20" s="1"/>
  <c r="T4" i="20"/>
  <c r="W4" i="20" s="1"/>
  <c r="B4" i="20"/>
  <c r="T3" i="20"/>
  <c r="W3" i="20" s="1"/>
  <c r="B3" i="20"/>
  <c r="A3" i="20"/>
  <c r="T2" i="20"/>
  <c r="V2" i="20" s="1"/>
  <c r="C2" i="20"/>
  <c r="D33" i="14"/>
  <c r="D35" i="14"/>
  <c r="C5" i="14"/>
  <c r="C9" i="14"/>
  <c r="C6" i="14"/>
  <c r="C8" i="14"/>
  <c r="C7" i="14"/>
  <c r="C10" i="14"/>
  <c r="C4" i="14"/>
  <c r="AN124" i="7"/>
  <c r="AN19" i="7"/>
  <c r="AN17" i="7"/>
  <c r="AM173" i="7"/>
  <c r="AN173" i="7" s="1"/>
  <c r="AM175" i="7"/>
  <c r="AN175" i="7" s="1"/>
  <c r="AM170" i="7"/>
  <c r="AN170" i="7" s="1"/>
  <c r="AN167" i="7"/>
  <c r="AN168" i="7"/>
  <c r="AN169" i="7"/>
  <c r="AN16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76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3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51" i="7"/>
  <c r="AO152" i="7"/>
  <c r="AO153" i="7"/>
  <c r="AO154" i="7"/>
  <c r="AN162" i="7"/>
  <c r="AN163" i="7"/>
  <c r="AN164" i="7"/>
  <c r="AM154" i="7"/>
  <c r="AN154" i="7" s="1"/>
  <c r="AN153" i="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C47" i="17" a="1"/>
  <c r="C47" i="17" s="1"/>
  <c r="B2" i="17"/>
  <c r="C13" i="27" l="1"/>
  <c r="AQ163" i="7"/>
  <c r="AR163" i="7"/>
  <c r="AQ162" i="7"/>
  <c r="AR162" i="7"/>
  <c r="AR153" i="7"/>
  <c r="AQ153" i="7"/>
  <c r="AR151" i="7"/>
  <c r="AQ151" i="7"/>
  <c r="AP190" i="7"/>
  <c r="AR190" i="7"/>
  <c r="AQ190" i="7"/>
  <c r="AP182" i="7"/>
  <c r="AQ182" i="7"/>
  <c r="AR182" i="7"/>
  <c r="AP168" i="7"/>
  <c r="AR168" i="7"/>
  <c r="AQ168" i="7"/>
  <c r="AP159" i="7"/>
  <c r="AR159" i="7"/>
  <c r="AQ159" i="7"/>
  <c r="AR187" i="7"/>
  <c r="AQ187" i="7"/>
  <c r="AR179" i="7"/>
  <c r="AQ179" i="7"/>
  <c r="AP175" i="7"/>
  <c r="AR175" i="7"/>
  <c r="AQ175" i="7"/>
  <c r="AQ186" i="7"/>
  <c r="AR186" i="7"/>
  <c r="AR178" i="7"/>
  <c r="AQ178" i="7"/>
  <c r="AP173" i="7"/>
  <c r="AQ173" i="7"/>
  <c r="AR173" i="7"/>
  <c r="AR152" i="7"/>
  <c r="AQ152" i="7"/>
  <c r="AP191" i="7"/>
  <c r="AR191" i="7"/>
  <c r="AQ191" i="7"/>
  <c r="AP183" i="7"/>
  <c r="AR183" i="7"/>
  <c r="AQ183" i="7"/>
  <c r="AP169" i="7"/>
  <c r="AR169" i="7"/>
  <c r="AQ169" i="7"/>
  <c r="AP158" i="7"/>
  <c r="AR158" i="7"/>
  <c r="AQ158" i="7"/>
  <c r="AP165" i="7"/>
  <c r="AQ165" i="7"/>
  <c r="AR165" i="7"/>
  <c r="AR189" i="7"/>
  <c r="AQ189" i="7"/>
  <c r="AQ181" i="7"/>
  <c r="AR181" i="7"/>
  <c r="AP167" i="7"/>
  <c r="AR167" i="7"/>
  <c r="AQ167" i="7"/>
  <c r="AR160" i="7"/>
  <c r="AQ160" i="7"/>
  <c r="AP185" i="7"/>
  <c r="AR185" i="7"/>
  <c r="AQ185" i="7"/>
  <c r="AP177" i="7"/>
  <c r="AR177" i="7"/>
  <c r="AQ177" i="7"/>
  <c r="AR156" i="7"/>
  <c r="AQ156" i="7"/>
  <c r="AP176" i="7"/>
  <c r="AR176" i="7"/>
  <c r="AQ176" i="7"/>
  <c r="AP184" i="7"/>
  <c r="AR184" i="7"/>
  <c r="AQ184" i="7"/>
  <c r="AP166" i="7"/>
  <c r="AR166" i="7"/>
  <c r="AQ166" i="7"/>
  <c r="AP157" i="7"/>
  <c r="AQ157" i="7"/>
  <c r="AR157" i="7"/>
  <c r="AP154" i="7"/>
  <c r="AQ154" i="7"/>
  <c r="AR154" i="7"/>
  <c r="AQ164" i="7"/>
  <c r="AR164" i="7"/>
  <c r="AR188" i="7"/>
  <c r="AQ188" i="7"/>
  <c r="AR180" i="7"/>
  <c r="AQ180" i="7"/>
  <c r="AP170" i="7"/>
  <c r="AQ170" i="7"/>
  <c r="AR170" i="7"/>
  <c r="AR161" i="7"/>
  <c r="AQ161" i="7"/>
  <c r="AP152" i="7"/>
  <c r="AP151" i="7"/>
  <c r="AP189" i="7"/>
  <c r="AP160" i="7"/>
  <c r="AP164" i="7"/>
  <c r="AP188" i="7"/>
  <c r="AP180" i="7"/>
  <c r="AP161" i="7"/>
  <c r="AP153" i="7"/>
  <c r="AP181" i="7"/>
  <c r="AP163" i="7"/>
  <c r="AP187" i="7"/>
  <c r="AP179" i="7"/>
  <c r="AP156" i="7"/>
  <c r="AP162" i="7"/>
  <c r="AP186" i="7"/>
  <c r="AP178" i="7"/>
  <c r="D11" i="14"/>
  <c r="D32" i="14"/>
  <c r="D24" i="14"/>
  <c r="E23" i="14"/>
  <c r="D23" i="14"/>
  <c r="E22" i="14"/>
  <c r="D22" i="14"/>
  <c r="D20" i="14"/>
  <c r="D21" i="14"/>
  <c r="E20" i="14"/>
  <c r="W162" i="20"/>
  <c r="C3" i="20"/>
  <c r="V38" i="20"/>
  <c r="W40" i="20"/>
  <c r="W42" i="20"/>
  <c r="V158" i="20"/>
  <c r="V160" i="20"/>
  <c r="V11" i="20"/>
  <c r="U144" i="20"/>
  <c r="W37" i="20"/>
  <c r="V81" i="20"/>
  <c r="V176" i="20"/>
  <c r="V178" i="20"/>
  <c r="V180" i="20"/>
  <c r="W60" i="20"/>
  <c r="U166" i="20"/>
  <c r="U18" i="20"/>
  <c r="W30" i="20"/>
  <c r="W36" i="20"/>
  <c r="V155" i="20"/>
  <c r="V159" i="20"/>
  <c r="U46" i="20"/>
  <c r="U50" i="20"/>
  <c r="W52" i="20"/>
  <c r="W95" i="20"/>
  <c r="W165" i="20"/>
  <c r="D20" i="21"/>
  <c r="W10" i="22"/>
  <c r="V64" i="22"/>
  <c r="V66" i="22"/>
  <c r="V68" i="22"/>
  <c r="L31" i="21"/>
  <c r="M27" i="21" s="1"/>
  <c r="L8" i="21"/>
  <c r="W37" i="22"/>
  <c r="W31" i="22"/>
  <c r="W33" i="22"/>
  <c r="V30" i="22"/>
  <c r="U30" i="22"/>
  <c r="V59" i="22"/>
  <c r="V36" i="22"/>
  <c r="V54" i="22"/>
  <c r="U4" i="22"/>
  <c r="V10" i="22"/>
  <c r="W59" i="22"/>
  <c r="AA59" i="22" s="1"/>
  <c r="V4" i="22"/>
  <c r="V3" i="22"/>
  <c r="U23" i="22"/>
  <c r="U25" i="22"/>
  <c r="U58" i="22"/>
  <c r="W23" i="22"/>
  <c r="W25" i="22"/>
  <c r="U33" i="22"/>
  <c r="W30" i="22"/>
  <c r="V47" i="22"/>
  <c r="U2" i="22"/>
  <c r="U12" i="22"/>
  <c r="W35" i="22"/>
  <c r="V58" i="22"/>
  <c r="W2" i="22"/>
  <c r="U45" i="22"/>
  <c r="V8" i="22"/>
  <c r="V51" i="22"/>
  <c r="W55" i="22"/>
  <c r="U60" i="22"/>
  <c r="C3" i="22"/>
  <c r="W11" i="22"/>
  <c r="U42" i="22"/>
  <c r="U8" i="22"/>
  <c r="U13" i="22"/>
  <c r="W15" i="22"/>
  <c r="V17" i="22"/>
  <c r="W19" i="22"/>
  <c r="AA57" i="22"/>
  <c r="Y57" i="22"/>
  <c r="W7" i="22"/>
  <c r="V11" i="22"/>
  <c r="V21" i="22"/>
  <c r="U3" i="22"/>
  <c r="W21" i="22"/>
  <c r="U28" i="22"/>
  <c r="U31" i="22"/>
  <c r="U40" i="22"/>
  <c r="W47" i="22"/>
  <c r="W52" i="22"/>
  <c r="U57" i="22"/>
  <c r="V65" i="22"/>
  <c r="W74" i="22"/>
  <c r="V31" i="22"/>
  <c r="V57" i="22"/>
  <c r="W67" i="22"/>
  <c r="W69" i="22"/>
  <c r="W71" i="22"/>
  <c r="W13" i="22"/>
  <c r="U15" i="22"/>
  <c r="W46" i="22"/>
  <c r="W51" i="22"/>
  <c r="W66" i="22"/>
  <c r="W73" i="22"/>
  <c r="W76" i="22"/>
  <c r="U7" i="22"/>
  <c r="W12" i="22"/>
  <c r="V22" i="22"/>
  <c r="W29" i="22"/>
  <c r="W32" i="22"/>
  <c r="W48" i="22"/>
  <c r="W50" i="22"/>
  <c r="W68" i="22"/>
  <c r="W70" i="22"/>
  <c r="U10" i="22"/>
  <c r="W22" i="22"/>
  <c r="W34" i="22"/>
  <c r="W36" i="22"/>
  <c r="U55" i="22"/>
  <c r="W72" i="22"/>
  <c r="W75" i="22"/>
  <c r="A6" i="22"/>
  <c r="C5" i="22"/>
  <c r="C4" i="22"/>
  <c r="U6" i="22"/>
  <c r="V12" i="22"/>
  <c r="U20" i="22"/>
  <c r="U29" i="22"/>
  <c r="V34" i="22"/>
  <c r="W39" i="22"/>
  <c r="V39" i="22"/>
  <c r="AA58" i="22"/>
  <c r="Y58" i="22"/>
  <c r="W14" i="22"/>
  <c r="U14" i="22"/>
  <c r="W26" i="22"/>
  <c r="U26" i="22"/>
  <c r="V59" i="20"/>
  <c r="V67" i="20"/>
  <c r="V86" i="20"/>
  <c r="W186" i="20"/>
  <c r="U5" i="22"/>
  <c r="V6" i="22"/>
  <c r="V9" i="22"/>
  <c r="U11" i="22"/>
  <c r="U18" i="22"/>
  <c r="V20" i="22"/>
  <c r="U27" i="22"/>
  <c r="V29" i="22"/>
  <c r="U32" i="22"/>
  <c r="U37" i="22"/>
  <c r="W38" i="22"/>
  <c r="V38" i="22"/>
  <c r="U39" i="22"/>
  <c r="V53" i="22"/>
  <c r="W53" i="22"/>
  <c r="U53" i="22"/>
  <c r="W41" i="22"/>
  <c r="V41" i="22"/>
  <c r="W40" i="22"/>
  <c r="V40" i="22"/>
  <c r="V43" i="20"/>
  <c r="Y57" i="20"/>
  <c r="V5" i="22"/>
  <c r="W9" i="22"/>
  <c r="W18" i="22"/>
  <c r="W24" i="22"/>
  <c r="U24" i="22"/>
  <c r="W27" i="22"/>
  <c r="V32" i="22"/>
  <c r="U35" i="22"/>
  <c r="V37" i="22"/>
  <c r="U38" i="22"/>
  <c r="W166" i="20"/>
  <c r="V19" i="22"/>
  <c r="V35" i="22"/>
  <c r="W44" i="22"/>
  <c r="V44" i="22"/>
  <c r="W45" i="22"/>
  <c r="V45" i="22"/>
  <c r="V46" i="22"/>
  <c r="U23" i="20"/>
  <c r="W16" i="22"/>
  <c r="U16" i="22"/>
  <c r="W43" i="22"/>
  <c r="V43" i="22"/>
  <c r="U44" i="22"/>
  <c r="W56" i="22"/>
  <c r="V56" i="22"/>
  <c r="U56" i="22"/>
  <c r="U34" i="22"/>
  <c r="U41" i="22"/>
  <c r="W78" i="20"/>
  <c r="AE78" i="20" s="1"/>
  <c r="U81" i="20"/>
  <c r="V99" i="20"/>
  <c r="W153" i="20"/>
  <c r="W181" i="20"/>
  <c r="W183" i="20"/>
  <c r="W185" i="20"/>
  <c r="V16" i="22"/>
  <c r="W17" i="22"/>
  <c r="U17" i="22"/>
  <c r="U19" i="22"/>
  <c r="V28" i="22"/>
  <c r="V33" i="22"/>
  <c r="U36" i="22"/>
  <c r="W42" i="22"/>
  <c r="V42" i="22"/>
  <c r="U43" i="22"/>
  <c r="U49" i="22"/>
  <c r="W49" i="22"/>
  <c r="V49" i="22"/>
  <c r="V50" i="22"/>
  <c r="U48" i="22"/>
  <c r="U52" i="22"/>
  <c r="U47" i="22"/>
  <c r="V48" i="22"/>
  <c r="U51" i="22"/>
  <c r="V52" i="22"/>
  <c r="U46" i="22"/>
  <c r="U50" i="22"/>
  <c r="U54" i="22"/>
  <c r="W60" i="22"/>
  <c r="V60" i="22"/>
  <c r="W61" i="22"/>
  <c r="W62" i="22"/>
  <c r="W63" i="22"/>
  <c r="W64" i="22"/>
  <c r="W65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V70" i="22"/>
  <c r="V71" i="22"/>
  <c r="V72" i="22"/>
  <c r="V73" i="22"/>
  <c r="V74" i="22"/>
  <c r="V75" i="22"/>
  <c r="V76" i="22"/>
  <c r="M8" i="21"/>
  <c r="N6" i="21"/>
  <c r="P27" i="21"/>
  <c r="D8" i="21"/>
  <c r="K8" i="21"/>
  <c r="W18" i="20"/>
  <c r="V94" i="20"/>
  <c r="U107" i="20"/>
  <c r="V167" i="20"/>
  <c r="N5" i="21"/>
  <c r="N7" i="21"/>
  <c r="D17" i="21"/>
  <c r="E20" i="21"/>
  <c r="F20" i="21" s="1"/>
  <c r="E31" i="21" s="1"/>
  <c r="D28" i="21"/>
  <c r="D32" i="21" s="1"/>
  <c r="W143" i="20"/>
  <c r="W151" i="20"/>
  <c r="V164" i="20"/>
  <c r="D19" i="21"/>
  <c r="E19" i="21"/>
  <c r="V3" i="20"/>
  <c r="W21" i="20"/>
  <c r="U38" i="20"/>
  <c r="Y99" i="20"/>
  <c r="N4" i="21"/>
  <c r="W12" i="20"/>
  <c r="D18" i="21"/>
  <c r="F18" i="21" s="1"/>
  <c r="E29" i="21" s="1"/>
  <c r="V175" i="20"/>
  <c r="V177" i="20"/>
  <c r="V179" i="20"/>
  <c r="V181" i="20"/>
  <c r="U8" i="20"/>
  <c r="U13" i="20"/>
  <c r="V30" i="20"/>
  <c r="U34" i="20"/>
  <c r="W45" i="20"/>
  <c r="W47" i="20"/>
  <c r="W49" i="20"/>
  <c r="U51" i="20"/>
  <c r="U93" i="20"/>
  <c r="V95" i="20"/>
  <c r="W109" i="20"/>
  <c r="V135" i="20"/>
  <c r="U142" i="20"/>
  <c r="V171" i="20"/>
  <c r="V187" i="20"/>
  <c r="V8" i="20"/>
  <c r="W13" i="20"/>
  <c r="U84" i="20"/>
  <c r="W142" i="20"/>
  <c r="W150" i="20"/>
  <c r="AC150" i="20" s="1"/>
  <c r="W157" i="20"/>
  <c r="W41" i="20"/>
  <c r="V7" i="20"/>
  <c r="V69" i="20"/>
  <c r="U99" i="20"/>
  <c r="U101" i="20"/>
  <c r="W112" i="20"/>
  <c r="W161" i="20"/>
  <c r="W168" i="20"/>
  <c r="W7" i="20"/>
  <c r="V12" i="20"/>
  <c r="W127" i="20"/>
  <c r="V138" i="20"/>
  <c r="V182" i="20"/>
  <c r="V184" i="20"/>
  <c r="W39" i="20"/>
  <c r="A4" i="20"/>
  <c r="A5" i="20" s="1"/>
  <c r="A6" i="20" s="1"/>
  <c r="A7" i="20" s="1"/>
  <c r="A8" i="20" s="1"/>
  <c r="W23" i="20"/>
  <c r="U25" i="20"/>
  <c r="U33" i="20"/>
  <c r="U35" i="20"/>
  <c r="W48" i="20"/>
  <c r="W56" i="20"/>
  <c r="W86" i="20"/>
  <c r="AE86" i="20" s="1"/>
  <c r="U129" i="20"/>
  <c r="W134" i="20"/>
  <c r="W136" i="20"/>
  <c r="U161" i="20"/>
  <c r="V163" i="20"/>
  <c r="W25" i="20"/>
  <c r="Y58" i="20"/>
  <c r="V62" i="20"/>
  <c r="V66" i="20"/>
  <c r="W94" i="20"/>
  <c r="U98" i="20"/>
  <c r="V143" i="20"/>
  <c r="AE85" i="20"/>
  <c r="Y85" i="20"/>
  <c r="W173" i="20"/>
  <c r="V173" i="20"/>
  <c r="U173" i="20"/>
  <c r="AE77" i="20"/>
  <c r="AC153" i="20"/>
  <c r="V172" i="20"/>
  <c r="W172" i="20"/>
  <c r="U172" i="20"/>
  <c r="W43" i="20"/>
  <c r="V48" i="20"/>
  <c r="U58" i="20"/>
  <c r="U117" i="20"/>
  <c r="W135" i="20"/>
  <c r="U137" i="20"/>
  <c r="W139" i="20"/>
  <c r="U141" i="20"/>
  <c r="V144" i="20"/>
  <c r="U146" i="20"/>
  <c r="U163" i="20"/>
  <c r="C4" i="20"/>
  <c r="W11" i="20"/>
  <c r="V16" i="20"/>
  <c r="V19" i="20"/>
  <c r="U27" i="20"/>
  <c r="W32" i="20"/>
  <c r="W34" i="20"/>
  <c r="U45" i="20"/>
  <c r="U47" i="20"/>
  <c r="V51" i="20"/>
  <c r="V70" i="20"/>
  <c r="U85" i="20"/>
  <c r="U89" i="20"/>
  <c r="AA99" i="20"/>
  <c r="W101" i="20"/>
  <c r="AC101" i="20" s="1"/>
  <c r="V117" i="20"/>
  <c r="U125" i="20"/>
  <c r="W128" i="20"/>
  <c r="U134" i="20"/>
  <c r="W146" i="20"/>
  <c r="V151" i="20"/>
  <c r="V153" i="20"/>
  <c r="U157" i="20"/>
  <c r="V166" i="20"/>
  <c r="U168" i="20"/>
  <c r="V27" i="20"/>
  <c r="V50" i="20"/>
  <c r="W51" i="20"/>
  <c r="W70" i="20"/>
  <c r="V85" i="20"/>
  <c r="V89" i="20"/>
  <c r="W154" i="20"/>
  <c r="V157" i="20"/>
  <c r="U162" i="20"/>
  <c r="U167" i="20"/>
  <c r="W178" i="20"/>
  <c r="W180" i="20"/>
  <c r="W182" i="20"/>
  <c r="W184" i="20"/>
  <c r="V5" i="20"/>
  <c r="U4" i="20"/>
  <c r="U21" i="20"/>
  <c r="W38" i="20"/>
  <c r="U40" i="20"/>
  <c r="V47" i="20"/>
  <c r="U49" i="20"/>
  <c r="W50" i="20"/>
  <c r="V56" i="20"/>
  <c r="U69" i="20"/>
  <c r="W100" i="20"/>
  <c r="Y100" i="20" s="1"/>
  <c r="V103" i="20"/>
  <c r="W119" i="20"/>
  <c r="W120" i="20"/>
  <c r="W124" i="20"/>
  <c r="V127" i="20"/>
  <c r="AC149" i="20"/>
  <c r="V162" i="20"/>
  <c r="V165" i="20"/>
  <c r="W167" i="20"/>
  <c r="V186" i="20"/>
  <c r="W188" i="20"/>
  <c r="W190" i="20"/>
  <c r="W31" i="20"/>
  <c r="W33" i="20"/>
  <c r="W35" i="20"/>
  <c r="V49" i="20"/>
  <c r="U53" i="20"/>
  <c r="U55" i="20"/>
  <c r="U73" i="20"/>
  <c r="U77" i="20"/>
  <c r="V93" i="20"/>
  <c r="U94" i="20"/>
  <c r="U95" i="20"/>
  <c r="V96" i="20"/>
  <c r="V107" i="20"/>
  <c r="V118" i="20"/>
  <c r="U126" i="20"/>
  <c r="V130" i="20"/>
  <c r="U133" i="20"/>
  <c r="W158" i="20"/>
  <c r="V161" i="20"/>
  <c r="U165" i="20"/>
  <c r="U170" i="20"/>
  <c r="U6" i="20"/>
  <c r="V6" i="20"/>
  <c r="V10" i="20"/>
  <c r="V35" i="20"/>
  <c r="W46" i="20"/>
  <c r="U48" i="20"/>
  <c r="V52" i="20"/>
  <c r="V55" i="20"/>
  <c r="U59" i="20"/>
  <c r="U68" i="20"/>
  <c r="W71" i="20"/>
  <c r="V73" i="20"/>
  <c r="U76" i="20"/>
  <c r="V77" i="20"/>
  <c r="V78" i="20"/>
  <c r="W90" i="20"/>
  <c r="W96" i="20"/>
  <c r="V112" i="20"/>
  <c r="W118" i="20"/>
  <c r="V126" i="20"/>
  <c r="W163" i="20"/>
  <c r="W170" i="20"/>
  <c r="U30" i="20"/>
  <c r="U41" i="20"/>
  <c r="W123" i="20"/>
  <c r="W152" i="20"/>
  <c r="W155" i="20"/>
  <c r="W164" i="20"/>
  <c r="V168" i="20"/>
  <c r="V183" i="20"/>
  <c r="V185" i="20"/>
  <c r="W187" i="20"/>
  <c r="W189" i="20"/>
  <c r="V189" i="20"/>
  <c r="V188" i="20"/>
  <c r="C8" i="20"/>
  <c r="A9" i="20"/>
  <c r="U20" i="20"/>
  <c r="W20" i="20"/>
  <c r="W14" i="20"/>
  <c r="U14" i="20"/>
  <c r="W17" i="20"/>
  <c r="U17" i="20"/>
  <c r="V20" i="20"/>
  <c r="U28" i="20"/>
  <c r="W28" i="20"/>
  <c r="V42" i="20"/>
  <c r="U2" i="20"/>
  <c r="V14" i="20"/>
  <c r="V17" i="20"/>
  <c r="W22" i="20"/>
  <c r="U22" i="20"/>
  <c r="V28" i="20"/>
  <c r="U29" i="20"/>
  <c r="U39" i="20"/>
  <c r="V41" i="20"/>
  <c r="W2" i="20"/>
  <c r="W9" i="20"/>
  <c r="U9" i="20"/>
  <c r="V22" i="20"/>
  <c r="V40" i="20"/>
  <c r="V4" i="20"/>
  <c r="V9" i="20"/>
  <c r="U15" i="20"/>
  <c r="W24" i="20"/>
  <c r="U24" i="20"/>
  <c r="V29" i="20"/>
  <c r="U31" i="20"/>
  <c r="U36" i="20"/>
  <c r="U37" i="20"/>
  <c r="V39" i="20"/>
  <c r="U44" i="20"/>
  <c r="W10" i="20"/>
  <c r="W15" i="20"/>
  <c r="U32" i="20"/>
  <c r="W44" i="20"/>
  <c r="V44" i="20"/>
  <c r="W26" i="20"/>
  <c r="U26" i="20"/>
  <c r="V31" i="20"/>
  <c r="V36" i="20"/>
  <c r="V37" i="20"/>
  <c r="U43" i="20"/>
  <c r="U3" i="20"/>
  <c r="C5" i="20"/>
  <c r="U5" i="20"/>
  <c r="C6" i="20"/>
  <c r="U16" i="20"/>
  <c r="U19" i="20"/>
  <c r="V26" i="20"/>
  <c r="V32" i="20"/>
  <c r="V33" i="20"/>
  <c r="V34" i="20"/>
  <c r="U42" i="20"/>
  <c r="V45" i="20"/>
  <c r="V46" i="20"/>
  <c r="AA92" i="20"/>
  <c r="Y92" i="20"/>
  <c r="V64" i="20"/>
  <c r="V61" i="20"/>
  <c r="U61" i="20"/>
  <c r="W61" i="20"/>
  <c r="W53" i="20"/>
  <c r="W105" i="20"/>
  <c r="V105" i="20"/>
  <c r="U105" i="20"/>
  <c r="U10" i="20"/>
  <c r="U11" i="20"/>
  <c r="U12" i="20"/>
  <c r="U54" i="20"/>
  <c r="V57" i="20"/>
  <c r="U57" i="20"/>
  <c r="AA59" i="20"/>
  <c r="Y59" i="20"/>
  <c r="V63" i="20"/>
  <c r="AE79" i="20"/>
  <c r="AC79" i="20"/>
  <c r="U52" i="20"/>
  <c r="V54" i="20"/>
  <c r="AA57" i="20"/>
  <c r="AA58" i="20"/>
  <c r="AE76" i="20"/>
  <c r="AC76" i="20"/>
  <c r="V65" i="20"/>
  <c r="V60" i="20"/>
  <c r="W62" i="20"/>
  <c r="W63" i="20"/>
  <c r="W64" i="20"/>
  <c r="W65" i="20"/>
  <c r="W66" i="20"/>
  <c r="W67" i="20"/>
  <c r="V74" i="20"/>
  <c r="W75" i="20"/>
  <c r="V82" i="20"/>
  <c r="W83" i="20"/>
  <c r="V90" i="20"/>
  <c r="W91" i="20"/>
  <c r="V100" i="20"/>
  <c r="V101" i="20"/>
  <c r="W102" i="20"/>
  <c r="W103" i="20"/>
  <c r="V106" i="20"/>
  <c r="AE132" i="20"/>
  <c r="AC132" i="20"/>
  <c r="U72" i="20"/>
  <c r="W74" i="20"/>
  <c r="U80" i="20"/>
  <c r="W82" i="20"/>
  <c r="U88" i="20"/>
  <c r="AE151" i="20"/>
  <c r="AC151" i="20"/>
  <c r="V58" i="20"/>
  <c r="U71" i="20"/>
  <c r="V72" i="20"/>
  <c r="U79" i="20"/>
  <c r="V80" i="20"/>
  <c r="AA85" i="20"/>
  <c r="U87" i="20"/>
  <c r="V88" i="20"/>
  <c r="U97" i="20"/>
  <c r="V98" i="20"/>
  <c r="U106" i="20"/>
  <c r="V108" i="20"/>
  <c r="W116" i="20"/>
  <c r="V116" i="20"/>
  <c r="W122" i="20"/>
  <c r="AC78" i="20"/>
  <c r="V79" i="20"/>
  <c r="V87" i="20"/>
  <c r="V97" i="20"/>
  <c r="W106" i="20"/>
  <c r="W108" i="20"/>
  <c r="U116" i="20"/>
  <c r="AE131" i="20"/>
  <c r="AC131" i="20"/>
  <c r="AC77" i="20"/>
  <c r="AC85" i="20"/>
  <c r="U92" i="20"/>
  <c r="U104" i="20"/>
  <c r="W115" i="20"/>
  <c r="V115" i="20"/>
  <c r="U115" i="20"/>
  <c r="AE130" i="20"/>
  <c r="AC130" i="20"/>
  <c r="U62" i="20"/>
  <c r="U63" i="20"/>
  <c r="U64" i="20"/>
  <c r="U65" i="20"/>
  <c r="U66" i="20"/>
  <c r="U67" i="20"/>
  <c r="V68" i="20"/>
  <c r="U75" i="20"/>
  <c r="V76" i="20"/>
  <c r="U83" i="20"/>
  <c r="V84" i="20"/>
  <c r="U91" i="20"/>
  <c r="V92" i="20"/>
  <c r="U102" i="20"/>
  <c r="U103" i="20"/>
  <c r="V104" i="20"/>
  <c r="W121" i="20"/>
  <c r="V121" i="20"/>
  <c r="U121" i="20"/>
  <c r="AE129" i="20"/>
  <c r="AC129" i="20"/>
  <c r="AE149" i="20"/>
  <c r="U160" i="20"/>
  <c r="U122" i="20"/>
  <c r="U123" i="20"/>
  <c r="U124" i="20"/>
  <c r="V125" i="20"/>
  <c r="U132" i="20"/>
  <c r="V133" i="20"/>
  <c r="U140" i="20"/>
  <c r="V141" i="20"/>
  <c r="W147" i="20"/>
  <c r="U147" i="20"/>
  <c r="U149" i="20"/>
  <c r="U152" i="20"/>
  <c r="AE153" i="20"/>
  <c r="U155" i="20"/>
  <c r="U164" i="20"/>
  <c r="W175" i="20"/>
  <c r="U114" i="20"/>
  <c r="U120" i="20"/>
  <c r="V122" i="20"/>
  <c r="V123" i="20"/>
  <c r="V124" i="20"/>
  <c r="U131" i="20"/>
  <c r="V132" i="20"/>
  <c r="U139" i="20"/>
  <c r="V140" i="20"/>
  <c r="V145" i="20"/>
  <c r="V147" i="20"/>
  <c r="V149" i="20"/>
  <c r="V152" i="20"/>
  <c r="W156" i="20"/>
  <c r="U158" i="20"/>
  <c r="U111" i="20"/>
  <c r="U113" i="20"/>
  <c r="V114" i="20"/>
  <c r="U130" i="20"/>
  <c r="V131" i="20"/>
  <c r="U138" i="20"/>
  <c r="W145" i="20"/>
  <c r="U151" i="20"/>
  <c r="W159" i="20"/>
  <c r="W169" i="20"/>
  <c r="V169" i="20"/>
  <c r="U169" i="20"/>
  <c r="W174" i="20"/>
  <c r="V174" i="20"/>
  <c r="U174" i="20"/>
  <c r="W177" i="20"/>
  <c r="U110" i="20"/>
  <c r="V111" i="20"/>
  <c r="U112" i="20"/>
  <c r="V113" i="20"/>
  <c r="U156" i="20"/>
  <c r="U109" i="20"/>
  <c r="V110" i="20"/>
  <c r="U119" i="20"/>
  <c r="U128" i="20"/>
  <c r="V129" i="20"/>
  <c r="U136" i="20"/>
  <c r="V137" i="20"/>
  <c r="U148" i="20"/>
  <c r="U150" i="20"/>
  <c r="U154" i="20"/>
  <c r="U159" i="20"/>
  <c r="W179" i="20"/>
  <c r="W148" i="20"/>
  <c r="V154" i="20"/>
  <c r="W160" i="20"/>
  <c r="W176" i="20"/>
  <c r="U171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L35" i="14"/>
  <c r="D36" i="14"/>
  <c r="E24" i="14"/>
  <c r="E21" i="14"/>
  <c r="M11" i="14"/>
  <c r="K11" i="14"/>
  <c r="L11" i="14"/>
  <c r="C39" i="17" a="1"/>
  <c r="C39" i="17" s="1"/>
  <c r="C31" i="17" a="1"/>
  <c r="C31" i="17" s="1"/>
  <c r="C23" i="17" a="1"/>
  <c r="C23" i="17" s="1"/>
  <c r="C15" i="17" a="1"/>
  <c r="C15" i="17" s="1"/>
  <c r="C7" i="17" a="1"/>
  <c r="C7" i="17" s="1"/>
  <c r="C45" i="17" a="1"/>
  <c r="C45" i="17" s="1"/>
  <c r="C37" i="17" a="1"/>
  <c r="C37" i="17" s="1"/>
  <c r="C29" i="17" a="1"/>
  <c r="C29" i="17" s="1"/>
  <c r="C21" i="17" a="1"/>
  <c r="C21" i="17" s="1"/>
  <c r="C13" i="17" a="1"/>
  <c r="C13" i="17" s="1"/>
  <c r="C5" i="17" a="1"/>
  <c r="C5" i="17" s="1"/>
  <c r="C43" i="17" a="1"/>
  <c r="C43" i="17" s="1"/>
  <c r="C42" i="17" a="1"/>
  <c r="C42" i="17" s="1"/>
  <c r="C34" i="17" a="1"/>
  <c r="C34" i="17" s="1"/>
  <c r="C41" i="17" a="1"/>
  <c r="C41" i="17" s="1"/>
  <c r="C33" i="17" a="1"/>
  <c r="C33" i="17" s="1"/>
  <c r="C25" i="17" a="1"/>
  <c r="C25" i="17" s="1"/>
  <c r="C17" i="17" a="1"/>
  <c r="C17" i="17" s="1"/>
  <c r="C9" i="17" a="1"/>
  <c r="C9" i="17" s="1"/>
  <c r="C2" i="17" a="1"/>
  <c r="C2" i="17" s="1"/>
  <c r="C6" i="17" a="1"/>
  <c r="C6" i="17" s="1"/>
  <c r="C10" i="17" a="1"/>
  <c r="C10" i="17" s="1"/>
  <c r="C14" i="17" a="1"/>
  <c r="C14" i="17" s="1"/>
  <c r="C18" i="17" a="1"/>
  <c r="C18" i="17" s="1"/>
  <c r="C22" i="17" a="1"/>
  <c r="C22" i="17" s="1"/>
  <c r="C26" i="17" a="1"/>
  <c r="C26" i="17" s="1"/>
  <c r="C30" i="17" a="1"/>
  <c r="C30" i="17" s="1"/>
  <c r="C38" i="17" a="1"/>
  <c r="C38" i="17" s="1"/>
  <c r="C46" i="17" a="1"/>
  <c r="C46" i="17" s="1"/>
  <c r="C3" i="17" a="1"/>
  <c r="C3" i="17" s="1"/>
  <c r="C11" i="17" a="1"/>
  <c r="C11" i="17" s="1"/>
  <c r="C19" i="17" a="1"/>
  <c r="C19" i="17" s="1"/>
  <c r="C27" i="17" a="1"/>
  <c r="C27" i="17" s="1"/>
  <c r="C35" i="17" a="1"/>
  <c r="C35" i="17" s="1"/>
  <c r="C4" i="17" a="1"/>
  <c r="C4" i="17" s="1"/>
  <c r="C8" i="17" a="1"/>
  <c r="C8" i="17" s="1"/>
  <c r="C12" i="17" a="1"/>
  <c r="C12" i="17" s="1"/>
  <c r="C16" i="17" a="1"/>
  <c r="C16" i="17" s="1"/>
  <c r="C20" i="17" a="1"/>
  <c r="C20" i="17" s="1"/>
  <c r="C24" i="17" a="1"/>
  <c r="C24" i="17" s="1"/>
  <c r="C28" i="17" a="1"/>
  <c r="C28" i="17" s="1"/>
  <c r="C32" i="17" a="1"/>
  <c r="C32" i="17" s="1"/>
  <c r="C36" i="17" a="1"/>
  <c r="C36" i="17" s="1"/>
  <c r="C40" i="17" a="1"/>
  <c r="C40" i="17" s="1"/>
  <c r="C44" i="17" a="1"/>
  <c r="C44" i="17" s="1"/>
  <c r="AA100" i="20" l="1"/>
  <c r="C14" i="27"/>
  <c r="N11" i="14"/>
  <c r="BB154" i="7"/>
  <c r="BD154" i="7"/>
  <c r="BB181" i="7"/>
  <c r="BL181" i="7" s="1"/>
  <c r="BD181" i="7"/>
  <c r="BK181" i="7" s="1"/>
  <c r="BD158" i="7"/>
  <c r="BK158" i="7" s="1"/>
  <c r="BB158" i="7"/>
  <c r="BL158" i="7" s="1"/>
  <c r="BD179" i="7"/>
  <c r="BK179" i="7" s="1"/>
  <c r="BB179" i="7"/>
  <c r="BL179" i="7" s="1"/>
  <c r="BB151" i="7"/>
  <c r="BL151" i="7" s="1"/>
  <c r="BD151" i="7"/>
  <c r="BK151" i="7" s="1"/>
  <c r="BB191" i="7"/>
  <c r="BL191" i="7" s="1"/>
  <c r="BD191" i="7"/>
  <c r="BK191" i="7" s="1"/>
  <c r="BD178" i="7"/>
  <c r="BK178" i="7" s="1"/>
  <c r="BB178" i="7"/>
  <c r="BL178" i="7" s="1"/>
  <c r="BB182" i="7"/>
  <c r="BL182" i="7" s="1"/>
  <c r="BD182" i="7"/>
  <c r="BK182" i="7" s="1"/>
  <c r="BB184" i="7"/>
  <c r="BL184" i="7" s="1"/>
  <c r="BD184" i="7"/>
  <c r="BK184" i="7" s="1"/>
  <c r="BD156" i="7"/>
  <c r="BK156" i="7" s="1"/>
  <c r="BB156" i="7"/>
  <c r="BL156" i="7" s="1"/>
  <c r="BD186" i="7"/>
  <c r="BK186" i="7" s="1"/>
  <c r="BB186" i="7"/>
  <c r="BL186" i="7" s="1"/>
  <c r="BD187" i="7"/>
  <c r="BK187" i="7" s="1"/>
  <c r="BB187" i="7"/>
  <c r="BL187" i="7" s="1"/>
  <c r="BB153" i="7"/>
  <c r="BL153" i="7" s="1"/>
  <c r="BD153" i="7"/>
  <c r="BK153" i="7" s="1"/>
  <c r="BB170" i="7"/>
  <c r="BD170" i="7"/>
  <c r="BD166" i="7"/>
  <c r="BK166" i="7" s="1"/>
  <c r="BB166" i="7"/>
  <c r="BL166" i="7" s="1"/>
  <c r="BD180" i="7"/>
  <c r="BK180" i="7" s="1"/>
  <c r="BB180" i="7"/>
  <c r="BL180" i="7" s="1"/>
  <c r="BD157" i="7"/>
  <c r="BK157" i="7" s="1"/>
  <c r="BB157" i="7"/>
  <c r="BL157" i="7" s="1"/>
  <c r="BB189" i="7"/>
  <c r="BL189" i="7" s="1"/>
  <c r="BD189" i="7"/>
  <c r="BK189" i="7" s="1"/>
  <c r="BB169" i="7"/>
  <c r="BL169" i="7" s="1"/>
  <c r="BD169" i="7"/>
  <c r="BK169" i="7" s="1"/>
  <c r="BB162" i="7"/>
  <c r="BL162" i="7" s="1"/>
  <c r="BD162" i="7"/>
  <c r="BK162" i="7" s="1"/>
  <c r="BB168" i="7"/>
  <c r="BL168" i="7" s="1"/>
  <c r="BD168" i="7"/>
  <c r="BK168" i="7" s="1"/>
  <c r="BD177" i="7"/>
  <c r="BK177" i="7" s="1"/>
  <c r="BB177" i="7"/>
  <c r="BL177" i="7" s="1"/>
  <c r="BB160" i="7"/>
  <c r="BL160" i="7" s="1"/>
  <c r="BD160" i="7"/>
  <c r="BK160" i="7" s="1"/>
  <c r="BD165" i="7"/>
  <c r="BB165" i="7"/>
  <c r="BB152" i="7"/>
  <c r="BL152" i="7" s="1"/>
  <c r="BD152" i="7"/>
  <c r="BK152" i="7" s="1"/>
  <c r="BB159" i="7"/>
  <c r="BL159" i="7" s="1"/>
  <c r="BD159" i="7"/>
  <c r="BK159" i="7" s="1"/>
  <c r="BD185" i="7"/>
  <c r="BK185" i="7" s="1"/>
  <c r="BB185" i="7"/>
  <c r="BL185" i="7" s="1"/>
  <c r="BD188" i="7"/>
  <c r="BK188" i="7" s="1"/>
  <c r="BB188" i="7"/>
  <c r="BL188" i="7" s="1"/>
  <c r="BB176" i="7"/>
  <c r="BL176" i="7" s="1"/>
  <c r="BD176" i="7"/>
  <c r="BK176" i="7" s="1"/>
  <c r="BB173" i="7"/>
  <c r="BD173" i="7"/>
  <c r="BB175" i="7"/>
  <c r="BD175" i="7"/>
  <c r="BB190" i="7"/>
  <c r="BL190" i="7" s="1"/>
  <c r="BD190" i="7"/>
  <c r="BK190" i="7" s="1"/>
  <c r="BD163" i="7"/>
  <c r="BK163" i="7" s="1"/>
  <c r="BB163" i="7"/>
  <c r="BL163" i="7" s="1"/>
  <c r="BB161" i="7"/>
  <c r="BL161" i="7" s="1"/>
  <c r="BD161" i="7"/>
  <c r="BK161" i="7" s="1"/>
  <c r="BD164" i="7"/>
  <c r="BK164" i="7" s="1"/>
  <c r="BB164" i="7"/>
  <c r="BL164" i="7" s="1"/>
  <c r="BB167" i="7"/>
  <c r="BL167" i="7" s="1"/>
  <c r="BD167" i="7"/>
  <c r="BK167" i="7" s="1"/>
  <c r="BB183" i="7"/>
  <c r="BL183" i="7" s="1"/>
  <c r="BD183" i="7"/>
  <c r="BK183" i="7" s="1"/>
  <c r="I9" i="14"/>
  <c r="H9" i="14"/>
  <c r="J9" i="14" s="1"/>
  <c r="F9" i="14"/>
  <c r="E9" i="14"/>
  <c r="G9" i="14" s="1"/>
  <c r="M33" i="14"/>
  <c r="M31" i="14"/>
  <c r="M34" i="14"/>
  <c r="M32" i="14"/>
  <c r="AZ170" i="7"/>
  <c r="AV170" i="7"/>
  <c r="AX170" i="7"/>
  <c r="AT170" i="7"/>
  <c r="AZ154" i="7"/>
  <c r="AV154" i="7"/>
  <c r="AX154" i="7"/>
  <c r="AT154" i="7"/>
  <c r="AX151" i="7"/>
  <c r="BJ151" i="7" s="1"/>
  <c r="AZ151" i="7"/>
  <c r="BI151" i="7" s="1"/>
  <c r="AZ153" i="7"/>
  <c r="BI153" i="7" s="1"/>
  <c r="AX153" i="7"/>
  <c r="BJ153" i="7" s="1"/>
  <c r="AZ152" i="7"/>
  <c r="BI152" i="7" s="1"/>
  <c r="AX152" i="7"/>
  <c r="BJ152" i="7" s="1"/>
  <c r="AX173" i="7"/>
  <c r="AZ173" i="7"/>
  <c r="AT173" i="7"/>
  <c r="AV173" i="7"/>
  <c r="AX175" i="7"/>
  <c r="AV175" i="7"/>
  <c r="AZ175" i="7"/>
  <c r="AT175" i="7"/>
  <c r="BG165" i="7"/>
  <c r="BH165" i="7"/>
  <c r="D37" i="14"/>
  <c r="D25" i="14"/>
  <c r="E25" i="14"/>
  <c r="AA101" i="20"/>
  <c r="AC152" i="20"/>
  <c r="AE152" i="20"/>
  <c r="M28" i="21"/>
  <c r="I4" i="21"/>
  <c r="H6" i="21"/>
  <c r="I6" i="21"/>
  <c r="I7" i="21"/>
  <c r="H7" i="21"/>
  <c r="F4" i="21"/>
  <c r="E4" i="21"/>
  <c r="F6" i="21"/>
  <c r="E6" i="21"/>
  <c r="F7" i="21"/>
  <c r="E7" i="21"/>
  <c r="I5" i="21"/>
  <c r="H5" i="21"/>
  <c r="E5" i="21"/>
  <c r="F5" i="21"/>
  <c r="H4" i="21"/>
  <c r="M30" i="21"/>
  <c r="M29" i="21"/>
  <c r="N8" i="21"/>
  <c r="Y59" i="22"/>
  <c r="AC86" i="20"/>
  <c r="AE150" i="20"/>
  <c r="A7" i="22"/>
  <c r="C6" i="22"/>
  <c r="F19" i="21"/>
  <c r="E30" i="21" s="1"/>
  <c r="D21" i="21"/>
  <c r="Y101" i="20"/>
  <c r="E21" i="21"/>
  <c r="F17" i="21"/>
  <c r="E28" i="21" s="1"/>
  <c r="AE101" i="20"/>
  <c r="AA86" i="20"/>
  <c r="C7" i="20"/>
  <c r="Y86" i="20"/>
  <c r="AA91" i="20"/>
  <c r="Y91" i="20"/>
  <c r="AC75" i="20"/>
  <c r="AE75" i="20"/>
  <c r="AA61" i="20"/>
  <c r="Y61" i="20"/>
  <c r="C9" i="20"/>
  <c r="A10" i="20"/>
  <c r="F22" i="14"/>
  <c r="E34" i="14" s="1"/>
  <c r="F23" i="14"/>
  <c r="E35" i="14" s="1"/>
  <c r="F20" i="14"/>
  <c r="E32" i="14" s="1"/>
  <c r="F21" i="14"/>
  <c r="E33" i="14" s="1"/>
  <c r="F24" i="14"/>
  <c r="E36" i="14" s="1"/>
  <c r="AO102" i="7"/>
  <c r="T3" i="10"/>
  <c r="S3" i="10"/>
  <c r="C2" i="7"/>
  <c r="AO113" i="7"/>
  <c r="AM107" i="7"/>
  <c r="AN107" i="7" s="1"/>
  <c r="AN106" i="7"/>
  <c r="AN95" i="7"/>
  <c r="AN96" i="7"/>
  <c r="C15" i="27" l="1"/>
  <c r="AP113" i="7"/>
  <c r="AR113" i="7"/>
  <c r="AQ113" i="7"/>
  <c r="E26" i="14"/>
  <c r="F25" i="14"/>
  <c r="E37" i="14" s="1"/>
  <c r="F21" i="21"/>
  <c r="C7" i="22"/>
  <c r="A8" i="22"/>
  <c r="A11" i="20"/>
  <c r="C10" i="20"/>
  <c r="W62" i="13"/>
  <c r="S62" i="13"/>
  <c r="V62" i="13" s="1"/>
  <c r="W61" i="13"/>
  <c r="S61" i="13"/>
  <c r="T61" i="13" s="1"/>
  <c r="W60" i="13"/>
  <c r="S60" i="13"/>
  <c r="V60" i="13" s="1"/>
  <c r="W59" i="13"/>
  <c r="S59" i="13"/>
  <c r="V59" i="13" s="1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30" i="7"/>
  <c r="AO119" i="7"/>
  <c r="AO118" i="7"/>
  <c r="X58" i="13"/>
  <c r="T58" i="13"/>
  <c r="W58" i="13" s="1"/>
  <c r="R58" i="13"/>
  <c r="X57" i="13"/>
  <c r="T57" i="13"/>
  <c r="V57" i="13" s="1"/>
  <c r="R57" i="13"/>
  <c r="X56" i="13"/>
  <c r="T56" i="13"/>
  <c r="W56" i="13" s="1"/>
  <c r="R56" i="13"/>
  <c r="X55" i="13"/>
  <c r="T55" i="13"/>
  <c r="U55" i="13" s="1"/>
  <c r="R55" i="13"/>
  <c r="X54" i="13"/>
  <c r="T54" i="13"/>
  <c r="W54" i="13" s="1"/>
  <c r="R54" i="13"/>
  <c r="X53" i="13"/>
  <c r="T53" i="13"/>
  <c r="W53" i="13" s="1"/>
  <c r="R53" i="13"/>
  <c r="B53" i="13"/>
  <c r="B54" i="13" s="1"/>
  <c r="B55" i="13" s="1"/>
  <c r="B56" i="13" s="1"/>
  <c r="B57" i="13" s="1"/>
  <c r="B58" i="13" s="1"/>
  <c r="X52" i="13"/>
  <c r="T52" i="13"/>
  <c r="W52" i="13" s="1"/>
  <c r="R52" i="13"/>
  <c r="X51" i="13"/>
  <c r="T51" i="13"/>
  <c r="S51" i="13"/>
  <c r="X50" i="13"/>
  <c r="T50" i="13"/>
  <c r="S50" i="13"/>
  <c r="B50" i="13"/>
  <c r="B51" i="13" s="1"/>
  <c r="AO74" i="7"/>
  <c r="AO73" i="7"/>
  <c r="AO72" i="7"/>
  <c r="AO87" i="7"/>
  <c r="BA182" i="11"/>
  <c r="AZ182" i="11" s="1"/>
  <c r="AY182" i="11" s="1"/>
  <c r="AX182" i="11" s="1"/>
  <c r="AW182" i="11" s="1"/>
  <c r="AV182" i="11" s="1"/>
  <c r="AU182" i="11" s="1"/>
  <c r="AT182" i="11" s="1"/>
  <c r="AS182" i="11" s="1"/>
  <c r="AR182" i="11" s="1"/>
  <c r="AQ182" i="11" s="1"/>
  <c r="AP182" i="11" s="1"/>
  <c r="BB182" i="11"/>
  <c r="AO60" i="7"/>
  <c r="AO61" i="7"/>
  <c r="AO62" i="7"/>
  <c r="AO63" i="7"/>
  <c r="AO64" i="7"/>
  <c r="AO65" i="7"/>
  <c r="AO66" i="7"/>
  <c r="AO67" i="7"/>
  <c r="AO68" i="7"/>
  <c r="AO69" i="7"/>
  <c r="AO70" i="7"/>
  <c r="AO71" i="7"/>
  <c r="AO75" i="7"/>
  <c r="AO76" i="7"/>
  <c r="AO77" i="7"/>
  <c r="AO78" i="7"/>
  <c r="AO80" i="7"/>
  <c r="AO81" i="7"/>
  <c r="AO82" i="7"/>
  <c r="AO83" i="7"/>
  <c r="AO84" i="7"/>
  <c r="AO85" i="7"/>
  <c r="AO86" i="7"/>
  <c r="AO88" i="7"/>
  <c r="AO89" i="7"/>
  <c r="AO90" i="7"/>
  <c r="AO92" i="7"/>
  <c r="AO93" i="7"/>
  <c r="AO94" i="7"/>
  <c r="AO95" i="7"/>
  <c r="AP95" i="7" s="1"/>
  <c r="AO96" i="7"/>
  <c r="AQ96" i="7" s="1"/>
  <c r="AO97" i="7"/>
  <c r="AO98" i="7"/>
  <c r="AO99" i="7"/>
  <c r="AO100" i="7"/>
  <c r="AO101" i="7"/>
  <c r="AO103" i="7"/>
  <c r="AR103" i="7" s="1"/>
  <c r="AO104" i="7"/>
  <c r="AO105" i="7"/>
  <c r="AR105" i="7" s="1"/>
  <c r="AO106" i="7"/>
  <c r="AP106" i="7" s="1"/>
  <c r="AO107" i="7"/>
  <c r="AR107" i="7" s="1"/>
  <c r="AO108" i="7"/>
  <c r="AO109" i="7"/>
  <c r="AO110" i="7"/>
  <c r="AO111" i="7"/>
  <c r="AO112" i="7"/>
  <c r="AR112" i="7" s="1"/>
  <c r="AO114" i="7"/>
  <c r="AO115" i="7"/>
  <c r="AO116" i="7"/>
  <c r="AO117" i="7"/>
  <c r="AO120" i="7"/>
  <c r="AO91" i="7"/>
  <c r="AO122" i="7"/>
  <c r="AO123" i="7"/>
  <c r="AO124" i="7"/>
  <c r="AO125" i="7"/>
  <c r="AO126" i="7"/>
  <c r="AO127" i="7"/>
  <c r="AO128" i="7"/>
  <c r="AO129" i="7"/>
  <c r="AO57" i="7"/>
  <c r="AO58" i="7"/>
  <c r="AO59" i="7"/>
  <c r="AO53" i="7"/>
  <c r="AR53" i="7" s="1"/>
  <c r="AO54" i="7"/>
  <c r="AO55" i="7"/>
  <c r="AO56" i="7"/>
  <c r="AO51" i="7"/>
  <c r="AO52" i="7"/>
  <c r="AO46" i="7"/>
  <c r="AO47" i="7"/>
  <c r="AO48" i="7"/>
  <c r="AO49" i="7"/>
  <c r="AO50" i="7"/>
  <c r="AO45" i="7"/>
  <c r="AO37" i="7"/>
  <c r="AO38" i="7"/>
  <c r="AO39" i="7"/>
  <c r="AO40" i="7"/>
  <c r="AO41" i="7"/>
  <c r="AO42" i="7"/>
  <c r="AO43" i="7"/>
  <c r="AO44" i="7"/>
  <c r="AO29" i="7"/>
  <c r="AO30" i="7"/>
  <c r="AO31" i="7"/>
  <c r="AO32" i="7"/>
  <c r="AO33" i="7"/>
  <c r="AP33" i="7" s="1"/>
  <c r="AO34" i="7"/>
  <c r="AO35" i="7"/>
  <c r="AO36" i="7"/>
  <c r="AO28" i="7"/>
  <c r="AO18" i="7"/>
  <c r="AO19" i="7"/>
  <c r="AO20" i="7"/>
  <c r="AO21" i="7"/>
  <c r="AO22" i="7"/>
  <c r="AO23" i="7"/>
  <c r="AO24" i="7"/>
  <c r="AR24" i="7" s="1"/>
  <c r="AO25" i="7"/>
  <c r="AR25" i="7" s="1"/>
  <c r="AO26" i="7"/>
  <c r="AO27" i="7"/>
  <c r="AO16" i="7"/>
  <c r="AO17" i="7"/>
  <c r="AO14" i="7"/>
  <c r="AO15" i="7"/>
  <c r="AO9" i="7"/>
  <c r="AO10" i="7"/>
  <c r="AO12" i="7"/>
  <c r="AO13" i="7"/>
  <c r="AO8" i="7"/>
  <c r="AO6" i="7"/>
  <c r="AO7" i="7"/>
  <c r="AO3" i="7"/>
  <c r="AO4" i="7"/>
  <c r="AO5" i="7"/>
  <c r="AO2" i="7"/>
  <c r="AN102" i="7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3" i="10"/>
  <c r="A3" i="7"/>
  <c r="B3" i="7"/>
  <c r="P35" i="14" s="1"/>
  <c r="Q40" i="13"/>
  <c r="R40" i="13" s="1"/>
  <c r="Q41" i="13"/>
  <c r="R41" i="13" s="1"/>
  <c r="P29" i="13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3" i="10"/>
  <c r="A2" i="10"/>
  <c r="C16" i="27" l="1"/>
  <c r="BB25" i="7"/>
  <c r="BD25" i="7"/>
  <c r="BB24" i="7"/>
  <c r="BD24" i="7"/>
  <c r="BD107" i="7"/>
  <c r="BK107" i="7" s="1"/>
  <c r="BB107" i="7"/>
  <c r="BL107" i="7" s="1"/>
  <c r="BD53" i="7"/>
  <c r="BB53" i="7"/>
  <c r="BB105" i="7"/>
  <c r="BD105" i="7"/>
  <c r="BB112" i="7"/>
  <c r="BD112" i="7"/>
  <c r="BB113" i="7"/>
  <c r="BD113" i="7"/>
  <c r="BB103" i="7"/>
  <c r="BD103" i="7"/>
  <c r="H8" i="14"/>
  <c r="J8" i="14" s="1"/>
  <c r="I8" i="14"/>
  <c r="F8" i="14"/>
  <c r="E8" i="14"/>
  <c r="G8" i="14" s="1"/>
  <c r="AA102" i="10"/>
  <c r="Z102" i="10"/>
  <c r="AA94" i="10"/>
  <c r="Z94" i="10"/>
  <c r="Z86" i="10"/>
  <c r="AA86" i="10"/>
  <c r="AA78" i="10"/>
  <c r="Z78" i="10"/>
  <c r="AA70" i="10"/>
  <c r="Z70" i="10"/>
  <c r="AA62" i="10"/>
  <c r="E37" i="10" s="1"/>
  <c r="Z62" i="10"/>
  <c r="D37" i="10" s="1"/>
  <c r="Z54" i="10"/>
  <c r="AA54" i="10"/>
  <c r="Z46" i="10"/>
  <c r="AA46" i="10"/>
  <c r="Z38" i="10"/>
  <c r="AA38" i="10"/>
  <c r="Z30" i="10"/>
  <c r="AA30" i="10"/>
  <c r="Z22" i="10"/>
  <c r="AA22" i="10"/>
  <c r="AA142" i="10"/>
  <c r="E78" i="10" s="1"/>
  <c r="Z142" i="10"/>
  <c r="D78" i="10" s="1"/>
  <c r="AA149" i="10"/>
  <c r="Z149" i="10"/>
  <c r="AA117" i="10"/>
  <c r="E66" i="10" s="1"/>
  <c r="Z117" i="10"/>
  <c r="D66" i="10" s="1"/>
  <c r="AA109" i="10"/>
  <c r="Z109" i="10"/>
  <c r="AA101" i="10"/>
  <c r="E55" i="10" s="1"/>
  <c r="Z101" i="10"/>
  <c r="D55" i="10" s="1"/>
  <c r="AA93" i="10"/>
  <c r="E52" i="10" s="1"/>
  <c r="Z93" i="10"/>
  <c r="D52" i="10" s="1"/>
  <c r="AA85" i="10"/>
  <c r="Z85" i="10"/>
  <c r="AA77" i="10"/>
  <c r="Z77" i="10"/>
  <c r="AA69" i="10"/>
  <c r="E42" i="10" s="1"/>
  <c r="Z69" i="10"/>
  <c r="D42" i="10" s="1"/>
  <c r="AA61" i="10"/>
  <c r="Z61" i="10"/>
  <c r="AA53" i="10"/>
  <c r="Z53" i="10"/>
  <c r="AA45" i="10"/>
  <c r="Z45" i="10"/>
  <c r="AA37" i="10"/>
  <c r="Z37" i="10"/>
  <c r="AA29" i="10"/>
  <c r="E19" i="10" s="1"/>
  <c r="Z29" i="10"/>
  <c r="D19" i="10" s="1"/>
  <c r="AA21" i="10"/>
  <c r="E13" i="10" s="1"/>
  <c r="Z21" i="10"/>
  <c r="D13" i="10" s="1"/>
  <c r="AA166" i="10"/>
  <c r="E88" i="10" s="1"/>
  <c r="Z166" i="10"/>
  <c r="D88" i="10" s="1"/>
  <c r="AA165" i="10"/>
  <c r="Z165" i="10"/>
  <c r="AA7" i="10"/>
  <c r="Z7" i="10"/>
  <c r="AA68" i="10"/>
  <c r="E41" i="10" s="1"/>
  <c r="Z68" i="10"/>
  <c r="D41" i="10" s="1"/>
  <c r="AA60" i="10"/>
  <c r="Z60" i="10"/>
  <c r="Z52" i="10"/>
  <c r="D33" i="10" s="1"/>
  <c r="AA52" i="10"/>
  <c r="E33" i="10" s="1"/>
  <c r="Z44" i="10"/>
  <c r="AA44" i="10"/>
  <c r="Z36" i="10"/>
  <c r="D24" i="10" s="1"/>
  <c r="AA36" i="10"/>
  <c r="E24" i="10" s="1"/>
  <c r="Z28" i="10"/>
  <c r="D18" i="10" s="1"/>
  <c r="AA28" i="10"/>
  <c r="E18" i="10" s="1"/>
  <c r="Z20" i="10"/>
  <c r="AA20" i="10"/>
  <c r="AA158" i="10"/>
  <c r="Z158" i="10"/>
  <c r="AA110" i="10"/>
  <c r="Z110" i="10"/>
  <c r="AA173" i="10"/>
  <c r="E92" i="10" s="1"/>
  <c r="Z173" i="10"/>
  <c r="D92" i="10" s="1"/>
  <c r="AA133" i="10"/>
  <c r="Z133" i="10"/>
  <c r="AA172" i="10"/>
  <c r="Z172" i="10"/>
  <c r="AA156" i="10"/>
  <c r="Z156" i="10"/>
  <c r="AA140" i="10"/>
  <c r="Z140" i="10"/>
  <c r="AA116" i="10"/>
  <c r="E65" i="10" s="1"/>
  <c r="Z116" i="10"/>
  <c r="D65" i="10" s="1"/>
  <c r="AA108" i="10"/>
  <c r="E59" i="10" s="1"/>
  <c r="Z108" i="10"/>
  <c r="D59" i="10" s="1"/>
  <c r="AA100" i="10"/>
  <c r="E54" i="10" s="1"/>
  <c r="Z100" i="10"/>
  <c r="D54" i="10" s="1"/>
  <c r="AA92" i="10"/>
  <c r="E51" i="10" s="1"/>
  <c r="Z92" i="10"/>
  <c r="D51" i="10" s="1"/>
  <c r="Z84" i="10"/>
  <c r="D48" i="10" s="1"/>
  <c r="AA84" i="10"/>
  <c r="E48" i="10" s="1"/>
  <c r="AA76" i="10"/>
  <c r="Z76" i="10"/>
  <c r="Z14" i="10"/>
  <c r="D9" i="10" s="1"/>
  <c r="AA14" i="10"/>
  <c r="E9" i="10" s="1"/>
  <c r="Z6" i="10"/>
  <c r="AA6" i="10"/>
  <c r="AA179" i="10"/>
  <c r="Z179" i="10"/>
  <c r="AA171" i="10"/>
  <c r="E91" i="10" s="1"/>
  <c r="Z171" i="10"/>
  <c r="D91" i="10" s="1"/>
  <c r="AA163" i="10"/>
  <c r="E85" i="10" s="1"/>
  <c r="Z163" i="10"/>
  <c r="D85" i="10" s="1"/>
  <c r="AA155" i="10"/>
  <c r="Z155" i="10"/>
  <c r="AA147" i="10"/>
  <c r="Z147" i="10"/>
  <c r="AA139" i="10"/>
  <c r="Z139" i="10"/>
  <c r="AA131" i="10"/>
  <c r="Z131" i="10"/>
  <c r="AA123" i="10"/>
  <c r="Z123" i="10"/>
  <c r="AA115" i="10"/>
  <c r="E64" i="10" s="1"/>
  <c r="Z115" i="10"/>
  <c r="D64" i="10" s="1"/>
  <c r="AA107" i="10"/>
  <c r="E58" i="10" s="1"/>
  <c r="Z107" i="10"/>
  <c r="D58" i="10" s="1"/>
  <c r="AA99" i="10"/>
  <c r="Z99" i="10"/>
  <c r="Z91" i="10"/>
  <c r="AA91" i="10"/>
  <c r="AA83" i="10"/>
  <c r="E47" i="10" s="1"/>
  <c r="Z83" i="10"/>
  <c r="D47" i="10" s="1"/>
  <c r="AA75" i="10"/>
  <c r="Z75" i="10"/>
  <c r="AA67" i="10"/>
  <c r="E40" i="10" s="1"/>
  <c r="Z67" i="10"/>
  <c r="D40" i="10" s="1"/>
  <c r="AA59" i="10"/>
  <c r="Z59" i="10"/>
  <c r="AA51" i="10"/>
  <c r="Z51" i="10"/>
  <c r="AA43" i="10"/>
  <c r="Z43" i="10"/>
  <c r="AA35" i="10"/>
  <c r="Z35" i="10"/>
  <c r="AA27" i="10"/>
  <c r="Z27" i="10"/>
  <c r="AA19" i="10"/>
  <c r="E12" i="10" s="1"/>
  <c r="Z19" i="10"/>
  <c r="D12" i="10" s="1"/>
  <c r="AA3" i="10"/>
  <c r="Z3" i="10"/>
  <c r="AA9" i="10"/>
  <c r="Z9" i="10"/>
  <c r="AA126" i="10"/>
  <c r="Z126" i="10"/>
  <c r="AA181" i="10"/>
  <c r="E96" i="10" s="1"/>
  <c r="Z181" i="10"/>
  <c r="D96" i="10" s="1"/>
  <c r="AA125" i="10"/>
  <c r="E70" i="10" s="1"/>
  <c r="Z125" i="10"/>
  <c r="D70" i="10" s="1"/>
  <c r="AA15" i="10"/>
  <c r="Z15" i="10"/>
  <c r="AA164" i="10"/>
  <c r="Z164" i="10"/>
  <c r="AA132" i="10"/>
  <c r="Z132" i="10"/>
  <c r="AA178" i="10"/>
  <c r="E94" i="10" s="1"/>
  <c r="Z178" i="10"/>
  <c r="D94" i="10" s="1"/>
  <c r="AA162" i="10"/>
  <c r="E84" i="10" s="1"/>
  <c r="Z162" i="10"/>
  <c r="D84" i="10" s="1"/>
  <c r="AA146" i="10"/>
  <c r="Z146" i="10"/>
  <c r="AA122" i="10"/>
  <c r="E69" i="10" s="1"/>
  <c r="Z122" i="10"/>
  <c r="D69" i="10" s="1"/>
  <c r="AA106" i="10"/>
  <c r="Z106" i="10"/>
  <c r="AA90" i="10"/>
  <c r="Z90" i="10"/>
  <c r="AA74" i="10"/>
  <c r="Z74" i="10"/>
  <c r="AA66" i="10"/>
  <c r="E39" i="10" s="1"/>
  <c r="Z66" i="10"/>
  <c r="D39" i="10" s="1"/>
  <c r="Z50" i="10"/>
  <c r="D32" i="10" s="1"/>
  <c r="AA50" i="10"/>
  <c r="E32" i="10" s="1"/>
  <c r="Z42" i="10"/>
  <c r="AA42" i="10"/>
  <c r="Z34" i="10"/>
  <c r="AA34" i="10"/>
  <c r="Z26" i="10"/>
  <c r="D17" i="10" s="1"/>
  <c r="AA26" i="10"/>
  <c r="E17" i="10" s="1"/>
  <c r="Z18" i="10"/>
  <c r="AA18" i="10"/>
  <c r="AA174" i="10"/>
  <c r="E93" i="10" s="1"/>
  <c r="Z174" i="10"/>
  <c r="D93" i="10" s="1"/>
  <c r="AA134" i="10"/>
  <c r="Z134" i="10"/>
  <c r="Z16" i="10"/>
  <c r="D10" i="10" s="1"/>
  <c r="AA16" i="10"/>
  <c r="E10" i="10" s="1"/>
  <c r="Z8" i="10"/>
  <c r="D6" i="10" s="1"/>
  <c r="AA8" i="10"/>
  <c r="E6" i="10" s="1"/>
  <c r="AA157" i="10"/>
  <c r="E82" i="10" s="1"/>
  <c r="Z157" i="10"/>
  <c r="D82" i="10" s="1"/>
  <c r="AA141" i="10"/>
  <c r="Z141" i="10"/>
  <c r="AA180" i="10"/>
  <c r="Z180" i="10"/>
  <c r="AA148" i="10"/>
  <c r="Z148" i="10"/>
  <c r="AA124" i="10"/>
  <c r="Z124" i="10"/>
  <c r="AA13" i="10"/>
  <c r="E8" i="10" s="1"/>
  <c r="Z13" i="10"/>
  <c r="D8" i="10" s="1"/>
  <c r="AA5" i="10"/>
  <c r="Z5" i="10"/>
  <c r="AA170" i="10"/>
  <c r="Z170" i="10"/>
  <c r="AA154" i="10"/>
  <c r="Z154" i="10"/>
  <c r="AA138" i="10"/>
  <c r="E77" i="10" s="1"/>
  <c r="Z138" i="10"/>
  <c r="D77" i="10" s="1"/>
  <c r="AA130" i="10"/>
  <c r="Z130" i="10"/>
  <c r="AA114" i="10"/>
  <c r="E63" i="10" s="1"/>
  <c r="Z114" i="10"/>
  <c r="D63" i="10" s="1"/>
  <c r="AA98" i="10"/>
  <c r="Z98" i="10"/>
  <c r="AA82" i="10"/>
  <c r="Z82" i="10"/>
  <c r="AA58" i="10"/>
  <c r="E35" i="10" s="1"/>
  <c r="Z58" i="10"/>
  <c r="D35" i="10" s="1"/>
  <c r="Z12" i="10"/>
  <c r="AA12" i="10"/>
  <c r="Z4" i="10"/>
  <c r="D3" i="10" s="1"/>
  <c r="AA4" i="10"/>
  <c r="E3" i="10" s="1"/>
  <c r="AA177" i="10"/>
  <c r="Z177" i="10"/>
  <c r="AA169" i="10"/>
  <c r="Z169" i="10"/>
  <c r="AA161" i="10"/>
  <c r="Z161" i="10"/>
  <c r="AA153" i="10"/>
  <c r="E81" i="10" s="1"/>
  <c r="Z153" i="10"/>
  <c r="D81" i="10" s="1"/>
  <c r="AA145" i="10"/>
  <c r="E79" i="10" s="1"/>
  <c r="Z145" i="10"/>
  <c r="D79" i="10" s="1"/>
  <c r="AA137" i="10"/>
  <c r="Z137" i="10"/>
  <c r="AA129" i="10"/>
  <c r="Z129" i="10"/>
  <c r="AA121" i="10"/>
  <c r="E68" i="10" s="1"/>
  <c r="Z121" i="10"/>
  <c r="D68" i="10" s="1"/>
  <c r="AA113" i="10"/>
  <c r="Z113" i="10"/>
  <c r="AA105" i="10"/>
  <c r="Z105" i="10"/>
  <c r="AA97" i="10"/>
  <c r="Z97" i="10"/>
  <c r="AA89" i="10"/>
  <c r="Z89" i="10"/>
  <c r="AA81" i="10"/>
  <c r="E46" i="10" s="1"/>
  <c r="Z81" i="10"/>
  <c r="D46" i="10" s="1"/>
  <c r="AA73" i="10"/>
  <c r="Z73" i="10"/>
  <c r="AA65" i="10"/>
  <c r="E38" i="10" s="1"/>
  <c r="Z65" i="10"/>
  <c r="D38" i="10" s="1"/>
  <c r="AA57" i="10"/>
  <c r="Z57" i="10"/>
  <c r="AA49" i="10"/>
  <c r="Z49" i="10"/>
  <c r="AA41" i="10"/>
  <c r="Z41" i="10"/>
  <c r="AA33" i="10"/>
  <c r="Z33" i="10"/>
  <c r="AA25" i="10"/>
  <c r="E16" i="10" s="1"/>
  <c r="Z25" i="10"/>
  <c r="D16" i="10" s="1"/>
  <c r="AA17" i="10"/>
  <c r="E11" i="10" s="1"/>
  <c r="Z17" i="10"/>
  <c r="D11" i="10" s="1"/>
  <c r="AA150" i="10"/>
  <c r="E80" i="10" s="1"/>
  <c r="Z150" i="10"/>
  <c r="D80" i="10" s="1"/>
  <c r="AA176" i="10"/>
  <c r="Z176" i="10"/>
  <c r="AA144" i="10"/>
  <c r="Z144" i="10"/>
  <c r="AA120" i="10"/>
  <c r="E67" i="10" s="1"/>
  <c r="Z120" i="10"/>
  <c r="D67" i="10" s="1"/>
  <c r="AA96" i="10"/>
  <c r="Z96" i="10"/>
  <c r="Z32" i="10"/>
  <c r="D21" i="10" s="1"/>
  <c r="AA32" i="10"/>
  <c r="E21" i="10" s="1"/>
  <c r="Z24" i="10"/>
  <c r="D15" i="10" s="1"/>
  <c r="AA24" i="10"/>
  <c r="E15" i="10" s="1"/>
  <c r="AA182" i="10"/>
  <c r="Z182" i="10"/>
  <c r="AA118" i="10"/>
  <c r="Z118" i="10"/>
  <c r="AA11" i="10"/>
  <c r="E7" i="10" s="1"/>
  <c r="Z11" i="10"/>
  <c r="D7" i="10" s="1"/>
  <c r="AA184" i="10"/>
  <c r="E99" i="10" s="1"/>
  <c r="Z184" i="10"/>
  <c r="D99" i="10" s="1"/>
  <c r="AA168" i="10"/>
  <c r="Z168" i="10"/>
  <c r="AA160" i="10"/>
  <c r="Z160" i="10"/>
  <c r="AA152" i="10"/>
  <c r="Z152" i="10"/>
  <c r="AA136" i="10"/>
  <c r="E75" i="10" s="1"/>
  <c r="Z136" i="10"/>
  <c r="D75" i="10" s="1"/>
  <c r="AA128" i="10"/>
  <c r="Z128" i="10"/>
  <c r="AA112" i="10"/>
  <c r="Z112" i="10"/>
  <c r="AA104" i="10"/>
  <c r="E57" i="10" s="1"/>
  <c r="Z104" i="10"/>
  <c r="D57" i="10" s="1"/>
  <c r="AA88" i="10"/>
  <c r="Z88" i="10"/>
  <c r="AA80" i="10"/>
  <c r="Z80" i="10"/>
  <c r="AA72" i="10"/>
  <c r="Z72" i="10"/>
  <c r="AA64" i="10"/>
  <c r="Z64" i="10"/>
  <c r="AA56" i="10"/>
  <c r="Z56" i="10"/>
  <c r="Z48" i="10"/>
  <c r="AA48" i="10"/>
  <c r="Z40" i="10"/>
  <c r="D27" i="10" s="1"/>
  <c r="AA40" i="10"/>
  <c r="E27" i="10" s="1"/>
  <c r="Z10" i="10"/>
  <c r="AA10" i="10"/>
  <c r="Z183" i="10"/>
  <c r="D98" i="10" s="1"/>
  <c r="AA183" i="10"/>
  <c r="E98" i="10" s="1"/>
  <c r="AA175" i="10"/>
  <c r="Z175" i="10"/>
  <c r="AA167" i="10"/>
  <c r="Z167" i="10"/>
  <c r="AA159" i="10"/>
  <c r="E83" i="10" s="1"/>
  <c r="Z159" i="10"/>
  <c r="D83" i="10" s="1"/>
  <c r="AA151" i="10"/>
  <c r="Z151" i="10"/>
  <c r="AA143" i="10"/>
  <c r="Z143" i="10"/>
  <c r="AA135" i="10"/>
  <c r="Z135" i="10"/>
  <c r="AA127" i="10"/>
  <c r="E71" i="10" s="1"/>
  <c r="Z127" i="10"/>
  <c r="D71" i="10" s="1"/>
  <c r="AA119" i="10"/>
  <c r="Z119" i="10"/>
  <c r="AA111" i="10"/>
  <c r="E61" i="10" s="1"/>
  <c r="Z111" i="10"/>
  <c r="D61" i="10" s="1"/>
  <c r="AA103" i="10"/>
  <c r="Z103" i="10"/>
  <c r="AA95" i="10"/>
  <c r="Z95" i="10"/>
  <c r="AA87" i="10"/>
  <c r="Z87" i="10"/>
  <c r="Z79" i="10"/>
  <c r="AA79" i="10"/>
  <c r="AA71" i="10"/>
  <c r="Z71" i="10"/>
  <c r="AA63" i="10"/>
  <c r="Z63" i="10"/>
  <c r="AA55" i="10"/>
  <c r="Z55" i="10"/>
  <c r="AA47" i="10"/>
  <c r="E29" i="10" s="1"/>
  <c r="Z47" i="10"/>
  <c r="D29" i="10" s="1"/>
  <c r="AA39" i="10"/>
  <c r="E26" i="10" s="1"/>
  <c r="Z39" i="10"/>
  <c r="D26" i="10" s="1"/>
  <c r="AA31" i="10"/>
  <c r="Z31" i="10"/>
  <c r="AA23" i="10"/>
  <c r="Z23" i="10"/>
  <c r="AU15" i="7"/>
  <c r="AU23" i="7"/>
  <c r="AU16" i="7"/>
  <c r="AU24" i="7"/>
  <c r="AU192" i="7"/>
  <c r="AU17" i="7"/>
  <c r="AU25" i="7"/>
  <c r="AU193" i="7"/>
  <c r="AU21" i="7"/>
  <c r="AU26" i="7"/>
  <c r="AU27" i="7"/>
  <c r="AU194" i="7"/>
  <c r="AU18" i="7"/>
  <c r="AU195" i="7"/>
  <c r="AU196" i="7"/>
  <c r="AU19" i="7"/>
  <c r="AU20" i="7"/>
  <c r="AU22" i="7"/>
  <c r="Z27" i="22"/>
  <c r="AA27" i="22" s="1"/>
  <c r="Z22" i="20"/>
  <c r="AA22" i="20" s="1"/>
  <c r="Z23" i="22"/>
  <c r="AA23" i="22" s="1"/>
  <c r="Z24" i="22"/>
  <c r="AA24" i="22" s="1"/>
  <c r="Z19" i="22"/>
  <c r="AA19" i="22" s="1"/>
  <c r="Z17" i="22"/>
  <c r="AA17" i="22" s="1"/>
  <c r="Z15" i="22"/>
  <c r="AA15" i="22" s="1"/>
  <c r="Z27" i="20"/>
  <c r="AA27" i="20" s="1"/>
  <c r="Z21" i="22"/>
  <c r="AA21" i="22" s="1"/>
  <c r="Z24" i="20"/>
  <c r="AA24" i="20" s="1"/>
  <c r="Z19" i="20"/>
  <c r="AA19" i="20" s="1"/>
  <c r="Z17" i="20"/>
  <c r="AA17" i="20" s="1"/>
  <c r="Z15" i="20"/>
  <c r="AA15" i="20" s="1"/>
  <c r="Z21" i="20"/>
  <c r="AA21" i="20" s="1"/>
  <c r="Z26" i="22"/>
  <c r="AA26" i="22" s="1"/>
  <c r="Z20" i="22"/>
  <c r="AA20" i="22" s="1"/>
  <c r="Z18" i="22"/>
  <c r="AA18" i="22" s="1"/>
  <c r="Z16" i="22"/>
  <c r="AA16" i="22" s="1"/>
  <c r="Z22" i="22"/>
  <c r="AA22" i="22" s="1"/>
  <c r="Z25" i="20"/>
  <c r="AA25" i="20" s="1"/>
  <c r="Z26" i="20"/>
  <c r="AA26" i="20" s="1"/>
  <c r="Z23" i="20"/>
  <c r="AA23" i="20" s="1"/>
  <c r="Z16" i="20"/>
  <c r="AA16" i="20" s="1"/>
  <c r="Z18" i="20"/>
  <c r="AA18" i="20" s="1"/>
  <c r="Z25" i="22"/>
  <c r="AA25" i="22" s="1"/>
  <c r="Z20" i="20"/>
  <c r="AA20" i="20" s="1"/>
  <c r="AS115" i="7"/>
  <c r="AS116" i="7"/>
  <c r="AS117" i="7"/>
  <c r="AS161" i="7"/>
  <c r="AT161" i="7" s="1"/>
  <c r="BH161" i="7" s="1"/>
  <c r="AS118" i="7"/>
  <c r="AS160" i="7"/>
  <c r="AT160" i="7" s="1"/>
  <c r="BH160" i="7" s="1"/>
  <c r="AS114" i="7"/>
  <c r="AS119" i="7"/>
  <c r="X113" i="20"/>
  <c r="Y113" i="20" s="1"/>
  <c r="X118" i="20"/>
  <c r="Y118" i="20" s="1"/>
  <c r="X160" i="20"/>
  <c r="Y160" i="20" s="1"/>
  <c r="X115" i="20"/>
  <c r="Y115" i="20" s="1"/>
  <c r="X159" i="20"/>
  <c r="Y159" i="20" s="1"/>
  <c r="X116" i="20"/>
  <c r="Y116" i="20" s="1"/>
  <c r="X117" i="20"/>
  <c r="Y117" i="20" s="1"/>
  <c r="X114" i="20"/>
  <c r="Y114" i="20" s="1"/>
  <c r="AS19" i="7"/>
  <c r="AS27" i="7"/>
  <c r="AS195" i="7"/>
  <c r="AS20" i="7"/>
  <c r="AS196" i="7"/>
  <c r="AS21" i="7"/>
  <c r="AS22" i="7"/>
  <c r="AS17" i="7"/>
  <c r="AS25" i="7"/>
  <c r="AS193" i="7"/>
  <c r="AS194" i="7"/>
  <c r="AS16" i="7"/>
  <c r="AS15" i="7"/>
  <c r="AS192" i="7"/>
  <c r="AS18" i="7"/>
  <c r="AS23" i="7"/>
  <c r="AS24" i="7"/>
  <c r="AS26" i="7"/>
  <c r="X22" i="22"/>
  <c r="Y22" i="22" s="1"/>
  <c r="X25" i="20"/>
  <c r="Y25" i="20" s="1"/>
  <c r="X17" i="20"/>
  <c r="Y17" i="20" s="1"/>
  <c r="X27" i="22"/>
  <c r="Y27" i="22" s="1"/>
  <c r="X22" i="20"/>
  <c r="Y22" i="20" s="1"/>
  <c r="X19" i="20"/>
  <c r="Y19" i="20" s="1"/>
  <c r="X24" i="22"/>
  <c r="Y24" i="22" s="1"/>
  <c r="X19" i="22"/>
  <c r="Y19" i="22" s="1"/>
  <c r="X17" i="22"/>
  <c r="Y17" i="22" s="1"/>
  <c r="X15" i="22"/>
  <c r="Y15" i="22" s="1"/>
  <c r="X27" i="20"/>
  <c r="Y27" i="20" s="1"/>
  <c r="X21" i="22"/>
  <c r="Y21" i="22" s="1"/>
  <c r="X15" i="20"/>
  <c r="Y15" i="20" s="1"/>
  <c r="X26" i="22"/>
  <c r="Y26" i="22" s="1"/>
  <c r="X23" i="22"/>
  <c r="Y23" i="22" s="1"/>
  <c r="X25" i="22"/>
  <c r="Y25" i="22" s="1"/>
  <c r="X20" i="20"/>
  <c r="Y20" i="20" s="1"/>
  <c r="X18" i="20"/>
  <c r="Y18" i="20" s="1"/>
  <c r="X16" i="20"/>
  <c r="Y16" i="20" s="1"/>
  <c r="X24" i="20"/>
  <c r="Y24" i="20" s="1"/>
  <c r="X23" i="20"/>
  <c r="Y23" i="20" s="1"/>
  <c r="X20" i="22"/>
  <c r="Y20" i="22" s="1"/>
  <c r="X21" i="20"/>
  <c r="Y21" i="20" s="1"/>
  <c r="X18" i="22"/>
  <c r="Y18" i="22" s="1"/>
  <c r="X26" i="20"/>
  <c r="Y26" i="20" s="1"/>
  <c r="X16" i="22"/>
  <c r="Y16" i="22" s="1"/>
  <c r="AU71" i="7"/>
  <c r="AU171" i="7"/>
  <c r="AU72" i="7"/>
  <c r="AU73" i="7"/>
  <c r="AU81" i="7"/>
  <c r="AU172" i="7"/>
  <c r="AU69" i="7"/>
  <c r="AU68" i="7"/>
  <c r="AU70" i="7"/>
  <c r="AU74" i="7"/>
  <c r="Z171" i="20"/>
  <c r="AA171" i="20" s="1"/>
  <c r="Z70" i="20"/>
  <c r="AA70" i="20" s="1"/>
  <c r="Z69" i="20"/>
  <c r="AA69" i="20" s="1"/>
  <c r="Z72" i="20"/>
  <c r="AA72" i="20" s="1"/>
  <c r="Z73" i="20"/>
  <c r="AA73" i="20" s="1"/>
  <c r="Z170" i="20"/>
  <c r="AA170" i="20" s="1"/>
  <c r="Z71" i="20"/>
  <c r="AA71" i="20" s="1"/>
  <c r="Z74" i="20"/>
  <c r="AA74" i="20" s="1"/>
  <c r="Z80" i="20"/>
  <c r="AA80" i="20" s="1"/>
  <c r="Z68" i="20"/>
  <c r="AA68" i="20" s="1"/>
  <c r="AU95" i="7"/>
  <c r="AU96" i="7"/>
  <c r="AU141" i="7"/>
  <c r="AU142" i="7"/>
  <c r="AU130" i="7"/>
  <c r="AU162" i="7"/>
  <c r="AV162" i="7" s="1"/>
  <c r="BG162" i="7" s="1"/>
  <c r="AU164" i="7"/>
  <c r="AV164" i="7" s="1"/>
  <c r="BG164" i="7" s="1"/>
  <c r="AU106" i="7"/>
  <c r="AU163" i="7"/>
  <c r="AV163" i="7" s="1"/>
  <c r="BG163" i="7" s="1"/>
  <c r="AU122" i="7"/>
  <c r="AU107" i="7"/>
  <c r="AV107" i="7" s="1"/>
  <c r="AU123" i="7"/>
  <c r="AU139" i="7"/>
  <c r="AU108" i="7"/>
  <c r="AU124" i="7"/>
  <c r="AU140" i="7"/>
  <c r="AU170" i="7"/>
  <c r="Z138" i="20"/>
  <c r="AA138" i="20" s="1"/>
  <c r="Z94" i="20"/>
  <c r="AA94" i="20" s="1"/>
  <c r="Z137" i="20"/>
  <c r="AA137" i="20" s="1"/>
  <c r="Z120" i="20"/>
  <c r="AA120" i="20" s="1"/>
  <c r="Z162" i="20"/>
  <c r="AA162" i="20" s="1"/>
  <c r="Z140" i="20"/>
  <c r="AA140" i="20" s="1"/>
  <c r="Z122" i="20"/>
  <c r="AA122" i="20" s="1"/>
  <c r="Z106" i="20"/>
  <c r="AA106" i="20" s="1"/>
  <c r="Z105" i="20"/>
  <c r="AA105" i="20" s="1"/>
  <c r="Z169" i="20"/>
  <c r="AA169" i="20" s="1"/>
  <c r="Z121" i="20"/>
  <c r="AA121" i="20" s="1"/>
  <c r="Z95" i="20"/>
  <c r="AA95" i="20" s="1"/>
  <c r="Z139" i="20"/>
  <c r="AA139" i="20" s="1"/>
  <c r="Z161" i="20"/>
  <c r="AA161" i="20" s="1"/>
  <c r="Z107" i="20"/>
  <c r="AA107" i="20" s="1"/>
  <c r="Z128" i="20"/>
  <c r="AA128" i="20" s="1"/>
  <c r="Z163" i="20"/>
  <c r="AA163" i="20" s="1"/>
  <c r="AU157" i="7"/>
  <c r="AV157" i="7" s="1"/>
  <c r="BG157" i="7" s="1"/>
  <c r="AU156" i="7"/>
  <c r="AV156" i="7" s="1"/>
  <c r="BG156" i="7" s="1"/>
  <c r="Z156" i="20"/>
  <c r="AA156" i="20" s="1"/>
  <c r="Z155" i="20"/>
  <c r="AA155" i="20" s="1"/>
  <c r="AU63" i="7"/>
  <c r="AU135" i="7"/>
  <c r="AU175" i="7"/>
  <c r="AU64" i="7"/>
  <c r="AU136" i="7"/>
  <c r="AU65" i="7"/>
  <c r="AU137" i="7"/>
  <c r="AU125" i="7"/>
  <c r="AU126" i="7"/>
  <c r="AU60" i="7"/>
  <c r="AU62" i="7"/>
  <c r="AU138" i="7"/>
  <c r="AU66" i="7"/>
  <c r="AU67" i="7"/>
  <c r="AU94" i="7"/>
  <c r="Z174" i="20"/>
  <c r="AA174" i="20" s="1"/>
  <c r="Z135" i="20"/>
  <c r="AA135" i="20" s="1"/>
  <c r="Z124" i="20"/>
  <c r="AA124" i="20" s="1"/>
  <c r="Z67" i="20"/>
  <c r="AA67" i="20" s="1"/>
  <c r="Z65" i="20"/>
  <c r="AA65" i="20" s="1"/>
  <c r="Z63" i="20"/>
  <c r="AA63" i="20" s="1"/>
  <c r="Z133" i="20"/>
  <c r="AA133" i="20" s="1"/>
  <c r="Z134" i="20"/>
  <c r="AA134" i="20" s="1"/>
  <c r="Z64" i="20"/>
  <c r="AA64" i="20" s="1"/>
  <c r="Z62" i="20"/>
  <c r="AA62" i="20" s="1"/>
  <c r="Z123" i="20"/>
  <c r="AA123" i="20" s="1"/>
  <c r="Z66" i="20"/>
  <c r="AA66" i="20" s="1"/>
  <c r="Z60" i="20"/>
  <c r="AA60" i="20" s="1"/>
  <c r="Z136" i="20"/>
  <c r="AA136" i="20" s="1"/>
  <c r="Z93" i="20"/>
  <c r="AA93" i="20" s="1"/>
  <c r="AS35" i="7"/>
  <c r="AS43" i="7"/>
  <c r="AS36" i="7"/>
  <c r="AS44" i="7"/>
  <c r="AS29" i="7"/>
  <c r="AS37" i="7"/>
  <c r="AS30" i="7"/>
  <c r="AS38" i="7"/>
  <c r="AS33" i="7"/>
  <c r="AS41" i="7"/>
  <c r="AS31" i="7"/>
  <c r="AS32" i="7"/>
  <c r="AS34" i="7"/>
  <c r="AS39" i="7"/>
  <c r="AS40" i="7"/>
  <c r="AS42" i="7"/>
  <c r="X35" i="22"/>
  <c r="Y35" i="22" s="1"/>
  <c r="X33" i="22"/>
  <c r="Y33" i="22" s="1"/>
  <c r="X31" i="22"/>
  <c r="Y31" i="22" s="1"/>
  <c r="X29" i="22"/>
  <c r="Y29" i="22" s="1"/>
  <c r="X43" i="20"/>
  <c r="Y43" i="20" s="1"/>
  <c r="X41" i="20"/>
  <c r="Y41" i="20" s="1"/>
  <c r="X39" i="20"/>
  <c r="Y39" i="20" s="1"/>
  <c r="X37" i="20"/>
  <c r="Y37" i="20" s="1"/>
  <c r="X32" i="22"/>
  <c r="Y32" i="22" s="1"/>
  <c r="X35" i="20"/>
  <c r="Y35" i="20" s="1"/>
  <c r="X33" i="20"/>
  <c r="Y33" i="20" s="1"/>
  <c r="X31" i="20"/>
  <c r="Y31" i="20" s="1"/>
  <c r="X29" i="20"/>
  <c r="Y29" i="20" s="1"/>
  <c r="X34" i="22"/>
  <c r="Y34" i="22" s="1"/>
  <c r="X44" i="22"/>
  <c r="Y44" i="22" s="1"/>
  <c r="X42" i="22"/>
  <c r="Y42" i="22" s="1"/>
  <c r="X40" i="22"/>
  <c r="Y40" i="22" s="1"/>
  <c r="X38" i="22"/>
  <c r="Y38" i="22" s="1"/>
  <c r="X36" i="22"/>
  <c r="Y36" i="22" s="1"/>
  <c r="X43" i="22"/>
  <c r="Y43" i="22" s="1"/>
  <c r="X41" i="22"/>
  <c r="Y41" i="22" s="1"/>
  <c r="X39" i="22"/>
  <c r="Y39" i="22" s="1"/>
  <c r="X37" i="22"/>
  <c r="Y37" i="22" s="1"/>
  <c r="X30" i="22"/>
  <c r="Y30" i="22" s="1"/>
  <c r="X38" i="20"/>
  <c r="Y38" i="20" s="1"/>
  <c r="X40" i="20"/>
  <c r="Y40" i="20" s="1"/>
  <c r="X34" i="20"/>
  <c r="Y34" i="20" s="1"/>
  <c r="X44" i="20"/>
  <c r="Y44" i="20" s="1"/>
  <c r="X30" i="20"/>
  <c r="Y30" i="20" s="1"/>
  <c r="X32" i="20"/>
  <c r="Y32" i="20" s="1"/>
  <c r="X42" i="20"/>
  <c r="Y42" i="20" s="1"/>
  <c r="X36" i="20"/>
  <c r="Y36" i="20" s="1"/>
  <c r="AS53" i="7"/>
  <c r="AS54" i="7"/>
  <c r="AS55" i="7"/>
  <c r="AS56" i="7"/>
  <c r="X55" i="20"/>
  <c r="Y55" i="20" s="1"/>
  <c r="X54" i="20"/>
  <c r="Y54" i="20" s="1"/>
  <c r="X54" i="22"/>
  <c r="Y54" i="22" s="1"/>
  <c r="X56" i="22"/>
  <c r="Y56" i="22" s="1"/>
  <c r="X53" i="22"/>
  <c r="Y53" i="22" s="1"/>
  <c r="X55" i="22"/>
  <c r="Y55" i="22" s="1"/>
  <c r="X56" i="20"/>
  <c r="Y56" i="20" s="1"/>
  <c r="X53" i="20"/>
  <c r="Y53" i="20" s="1"/>
  <c r="AS156" i="7"/>
  <c r="AT156" i="7" s="1"/>
  <c r="BH156" i="7" s="1"/>
  <c r="AS157" i="7"/>
  <c r="AT157" i="7" s="1"/>
  <c r="BH157" i="7" s="1"/>
  <c r="X156" i="20"/>
  <c r="Y156" i="20" s="1"/>
  <c r="X155" i="20"/>
  <c r="Y155" i="20" s="1"/>
  <c r="AS67" i="7"/>
  <c r="AS60" i="7"/>
  <c r="AS125" i="7"/>
  <c r="AS62" i="7"/>
  <c r="AS65" i="7"/>
  <c r="AS137" i="7"/>
  <c r="AS64" i="7"/>
  <c r="AS126" i="7"/>
  <c r="AS66" i="7"/>
  <c r="AS175" i="7"/>
  <c r="AS135" i="7"/>
  <c r="AS94" i="7"/>
  <c r="AS136" i="7"/>
  <c r="AS63" i="7"/>
  <c r="AS138" i="7"/>
  <c r="X133" i="20"/>
  <c r="Y133" i="20" s="1"/>
  <c r="X67" i="20"/>
  <c r="Y67" i="20" s="1"/>
  <c r="X174" i="20"/>
  <c r="Y174" i="20" s="1"/>
  <c r="X65" i="20"/>
  <c r="Y65" i="20" s="1"/>
  <c r="X135" i="20"/>
  <c r="Y135" i="20" s="1"/>
  <c r="X136" i="20"/>
  <c r="Y136" i="20" s="1"/>
  <c r="X123" i="20"/>
  <c r="Y123" i="20" s="1"/>
  <c r="X66" i="20"/>
  <c r="Y66" i="20" s="1"/>
  <c r="X64" i="20"/>
  <c r="Y64" i="20" s="1"/>
  <c r="X62" i="20"/>
  <c r="Y62" i="20" s="1"/>
  <c r="X60" i="20"/>
  <c r="Y60" i="20" s="1"/>
  <c r="X124" i="20"/>
  <c r="Y124" i="20" s="1"/>
  <c r="X63" i="20"/>
  <c r="Y63" i="20" s="1"/>
  <c r="X93" i="20"/>
  <c r="Y93" i="20" s="1"/>
  <c r="X134" i="20"/>
  <c r="Y134" i="20" s="1"/>
  <c r="AU183" i="7"/>
  <c r="AV183" i="7" s="1"/>
  <c r="BG183" i="7" s="1"/>
  <c r="AU176" i="7"/>
  <c r="AV176" i="7" s="1"/>
  <c r="BG176" i="7" s="1"/>
  <c r="AU184" i="7"/>
  <c r="AV184" i="7" s="1"/>
  <c r="BG184" i="7" s="1"/>
  <c r="AU177" i="7"/>
  <c r="AV177" i="7" s="1"/>
  <c r="BG177" i="7" s="1"/>
  <c r="AU185" i="7"/>
  <c r="AV185" i="7" s="1"/>
  <c r="BG185" i="7" s="1"/>
  <c r="AU181" i="7"/>
  <c r="AV181" i="7" s="1"/>
  <c r="BG181" i="7" s="1"/>
  <c r="AU180" i="7"/>
  <c r="AV180" i="7" s="1"/>
  <c r="BG180" i="7" s="1"/>
  <c r="AU182" i="7"/>
  <c r="AV182" i="7" s="1"/>
  <c r="BG182" i="7" s="1"/>
  <c r="AU178" i="7"/>
  <c r="AV178" i="7" s="1"/>
  <c r="BG178" i="7" s="1"/>
  <c r="AU186" i="7"/>
  <c r="AV186" i="7" s="1"/>
  <c r="BG186" i="7" s="1"/>
  <c r="AU179" i="7"/>
  <c r="AV179" i="7" s="1"/>
  <c r="BG179" i="7" s="1"/>
  <c r="AU187" i="7"/>
  <c r="AV187" i="7" s="1"/>
  <c r="BG187" i="7" s="1"/>
  <c r="Z186" i="20"/>
  <c r="AA186" i="20" s="1"/>
  <c r="Z184" i="20"/>
  <c r="AA184" i="20" s="1"/>
  <c r="Z182" i="20"/>
  <c r="AA182" i="20" s="1"/>
  <c r="Z180" i="20"/>
  <c r="AA180" i="20" s="1"/>
  <c r="Z178" i="20"/>
  <c r="AA178" i="20" s="1"/>
  <c r="Z176" i="20"/>
  <c r="AA176" i="20" s="1"/>
  <c r="Z177" i="20"/>
  <c r="AA177" i="20" s="1"/>
  <c r="Z71" i="22"/>
  <c r="AA71" i="22" s="1"/>
  <c r="Z69" i="22"/>
  <c r="AA69" i="22" s="1"/>
  <c r="Z67" i="22"/>
  <c r="AA67" i="22" s="1"/>
  <c r="Z65" i="22"/>
  <c r="AA65" i="22" s="1"/>
  <c r="Z63" i="22"/>
  <c r="AA63" i="22" s="1"/>
  <c r="Z61" i="22"/>
  <c r="AA61" i="22" s="1"/>
  <c r="Z183" i="20"/>
  <c r="AA183" i="20" s="1"/>
  <c r="Z175" i="20"/>
  <c r="AA175" i="20" s="1"/>
  <c r="Z181" i="20"/>
  <c r="AA181" i="20" s="1"/>
  <c r="Z72" i="22"/>
  <c r="AA72" i="22" s="1"/>
  <c r="Z70" i="22"/>
  <c r="AA70" i="22" s="1"/>
  <c r="Z68" i="22"/>
  <c r="AA68" i="22" s="1"/>
  <c r="Z66" i="22"/>
  <c r="AA66" i="22" s="1"/>
  <c r="Z64" i="22"/>
  <c r="AA64" i="22" s="1"/>
  <c r="Z62" i="22"/>
  <c r="AA62" i="22" s="1"/>
  <c r="Z185" i="20"/>
  <c r="AA185" i="20" s="1"/>
  <c r="Z179" i="20"/>
  <c r="AA179" i="20" s="1"/>
  <c r="AU79" i="7"/>
  <c r="AV79" i="7" s="1"/>
  <c r="BG79" i="7" s="1"/>
  <c r="AU151" i="7"/>
  <c r="AV151" i="7" s="1"/>
  <c r="BG151" i="7" s="1"/>
  <c r="AU80" i="7"/>
  <c r="AU152" i="7"/>
  <c r="AV152" i="7" s="1"/>
  <c r="BG152" i="7" s="1"/>
  <c r="AU153" i="7"/>
  <c r="AV153" i="7" s="1"/>
  <c r="BG153" i="7" s="1"/>
  <c r="BM153" i="7" s="1"/>
  <c r="AU77" i="7"/>
  <c r="AU133" i="7"/>
  <c r="AU78" i="7"/>
  <c r="AU132" i="7"/>
  <c r="AU131" i="7"/>
  <c r="AU75" i="7"/>
  <c r="AU76" i="7"/>
  <c r="AU134" i="7"/>
  <c r="Z153" i="20"/>
  <c r="AA153" i="20" s="1"/>
  <c r="Z75" i="20"/>
  <c r="AA75" i="20" s="1"/>
  <c r="Z132" i="20"/>
  <c r="AA132" i="20" s="1"/>
  <c r="Z131" i="20"/>
  <c r="AA131" i="20" s="1"/>
  <c r="Z78" i="20"/>
  <c r="AA78" i="20" s="1"/>
  <c r="Z129" i="20"/>
  <c r="AA129" i="20" s="1"/>
  <c r="Z76" i="20"/>
  <c r="AA76" i="20" s="1"/>
  <c r="Z151" i="20"/>
  <c r="AA151" i="20" s="1"/>
  <c r="Z150" i="20"/>
  <c r="AA150" i="20" s="1"/>
  <c r="Z149" i="20"/>
  <c r="AA149" i="20" s="1"/>
  <c r="Z130" i="20"/>
  <c r="AA130" i="20" s="1"/>
  <c r="Z79" i="20"/>
  <c r="AA79" i="20" s="1"/>
  <c r="Z77" i="20"/>
  <c r="AA77" i="20" s="1"/>
  <c r="Z152" i="20"/>
  <c r="AA152" i="20" s="1"/>
  <c r="AS179" i="7"/>
  <c r="AT179" i="7" s="1"/>
  <c r="BH179" i="7" s="1"/>
  <c r="AS187" i="7"/>
  <c r="AT187" i="7" s="1"/>
  <c r="BH187" i="7" s="1"/>
  <c r="AS180" i="7"/>
  <c r="AT180" i="7" s="1"/>
  <c r="BH180" i="7" s="1"/>
  <c r="AS181" i="7"/>
  <c r="AT181" i="7" s="1"/>
  <c r="BH181" i="7" s="1"/>
  <c r="AS177" i="7"/>
  <c r="AT177" i="7" s="1"/>
  <c r="BH177" i="7" s="1"/>
  <c r="AS185" i="7"/>
  <c r="AT185" i="7" s="1"/>
  <c r="BH185" i="7" s="1"/>
  <c r="AS178" i="7"/>
  <c r="AT178" i="7" s="1"/>
  <c r="BH178" i="7" s="1"/>
  <c r="AS176" i="7"/>
  <c r="AT176" i="7" s="1"/>
  <c r="BH176" i="7" s="1"/>
  <c r="AS182" i="7"/>
  <c r="AT182" i="7" s="1"/>
  <c r="BH182" i="7" s="1"/>
  <c r="AS183" i="7"/>
  <c r="AT183" i="7" s="1"/>
  <c r="BH183" i="7" s="1"/>
  <c r="AS184" i="7"/>
  <c r="AT184" i="7" s="1"/>
  <c r="BH184" i="7" s="1"/>
  <c r="AS186" i="7"/>
  <c r="AT186" i="7" s="1"/>
  <c r="BH186" i="7" s="1"/>
  <c r="X186" i="20"/>
  <c r="Y186" i="20" s="1"/>
  <c r="X184" i="20"/>
  <c r="Y184" i="20" s="1"/>
  <c r="X182" i="20"/>
  <c r="Y182" i="20" s="1"/>
  <c r="X180" i="20"/>
  <c r="Y180" i="20" s="1"/>
  <c r="X178" i="20"/>
  <c r="Y178" i="20" s="1"/>
  <c r="X176" i="20"/>
  <c r="Y176" i="20" s="1"/>
  <c r="X71" i="22"/>
  <c r="Y71" i="22" s="1"/>
  <c r="X69" i="22"/>
  <c r="Y69" i="22" s="1"/>
  <c r="X67" i="22"/>
  <c r="Y67" i="22" s="1"/>
  <c r="X65" i="22"/>
  <c r="Y65" i="22" s="1"/>
  <c r="X63" i="22"/>
  <c r="Y63" i="22" s="1"/>
  <c r="X61" i="22"/>
  <c r="Y61" i="22" s="1"/>
  <c r="X72" i="22"/>
  <c r="Y72" i="22" s="1"/>
  <c r="X70" i="22"/>
  <c r="Y70" i="22" s="1"/>
  <c r="X68" i="22"/>
  <c r="Y68" i="22" s="1"/>
  <c r="X66" i="22"/>
  <c r="Y66" i="22" s="1"/>
  <c r="X64" i="22"/>
  <c r="Y64" i="22" s="1"/>
  <c r="X62" i="22"/>
  <c r="Y62" i="22" s="1"/>
  <c r="X177" i="20"/>
  <c r="Y177" i="20" s="1"/>
  <c r="X183" i="20"/>
  <c r="Y183" i="20" s="1"/>
  <c r="X179" i="20"/>
  <c r="Y179" i="20" s="1"/>
  <c r="X185" i="20"/>
  <c r="Y185" i="20" s="1"/>
  <c r="X175" i="20"/>
  <c r="Y175" i="20" s="1"/>
  <c r="X181" i="20"/>
  <c r="Y181" i="20" s="1"/>
  <c r="AS75" i="7"/>
  <c r="AS131" i="7"/>
  <c r="AS76" i="7"/>
  <c r="AS132" i="7"/>
  <c r="AS77" i="7"/>
  <c r="AS133" i="7"/>
  <c r="AS78" i="7"/>
  <c r="AS153" i="7"/>
  <c r="AT153" i="7" s="1"/>
  <c r="BH153" i="7" s="1"/>
  <c r="AS134" i="7"/>
  <c r="AS79" i="7"/>
  <c r="AT79" i="7" s="1"/>
  <c r="BH79" i="7" s="1"/>
  <c r="AS151" i="7"/>
  <c r="AT151" i="7" s="1"/>
  <c r="BH151" i="7" s="1"/>
  <c r="AS80" i="7"/>
  <c r="AS152" i="7"/>
  <c r="AT152" i="7" s="1"/>
  <c r="BH152" i="7" s="1"/>
  <c r="X149" i="20"/>
  <c r="Y149" i="20" s="1"/>
  <c r="X129" i="20"/>
  <c r="Y129" i="20" s="1"/>
  <c r="X153" i="20"/>
  <c r="Y153" i="20" s="1"/>
  <c r="X75" i="20"/>
  <c r="Y75" i="20" s="1"/>
  <c r="X131" i="20"/>
  <c r="Y131" i="20" s="1"/>
  <c r="X78" i="20"/>
  <c r="Y78" i="20" s="1"/>
  <c r="X152" i="20"/>
  <c r="Y152" i="20" s="1"/>
  <c r="X130" i="20"/>
  <c r="Y130" i="20" s="1"/>
  <c r="X77" i="20"/>
  <c r="Y77" i="20" s="1"/>
  <c r="X150" i="20"/>
  <c r="Y150" i="20" s="1"/>
  <c r="X76" i="20"/>
  <c r="Y76" i="20" s="1"/>
  <c r="X151" i="20"/>
  <c r="Y151" i="20" s="1"/>
  <c r="X79" i="20"/>
  <c r="Y79" i="20" s="1"/>
  <c r="X132" i="20"/>
  <c r="Y132" i="20" s="1"/>
  <c r="AU167" i="7"/>
  <c r="AV167" i="7" s="1"/>
  <c r="BG167" i="7" s="1"/>
  <c r="AU166" i="7"/>
  <c r="AV166" i="7" s="1"/>
  <c r="BG166" i="7" s="1"/>
  <c r="Z166" i="20"/>
  <c r="AA166" i="20" s="1"/>
  <c r="Z165" i="20"/>
  <c r="AA165" i="20" s="1"/>
  <c r="AS91" i="7"/>
  <c r="AS147" i="7"/>
  <c r="AS148" i="7"/>
  <c r="AS109" i="7"/>
  <c r="AS149" i="7"/>
  <c r="AS89" i="7"/>
  <c r="AS113" i="7"/>
  <c r="AT113" i="7" s="1"/>
  <c r="AS110" i="7"/>
  <c r="AS111" i="7"/>
  <c r="AS150" i="7"/>
  <c r="AS112" i="7"/>
  <c r="AS90" i="7"/>
  <c r="X111" i="20"/>
  <c r="Y111" i="20" s="1"/>
  <c r="X148" i="20"/>
  <c r="Y148" i="20" s="1"/>
  <c r="X110" i="20"/>
  <c r="Y110" i="20" s="1"/>
  <c r="X146" i="20"/>
  <c r="Y146" i="20" s="1"/>
  <c r="X108" i="20"/>
  <c r="Y108" i="20" s="1"/>
  <c r="X90" i="20"/>
  <c r="Y90" i="20" s="1"/>
  <c r="X88" i="20"/>
  <c r="Y88" i="20" s="1"/>
  <c r="X145" i="20"/>
  <c r="Y145" i="20" s="1"/>
  <c r="X109" i="20"/>
  <c r="Y109" i="20" s="1"/>
  <c r="X89" i="20"/>
  <c r="Y89" i="20" s="1"/>
  <c r="X112" i="20"/>
  <c r="Y112" i="20" s="1"/>
  <c r="X147" i="20"/>
  <c r="Y147" i="20" s="1"/>
  <c r="AS83" i="7"/>
  <c r="AS99" i="7"/>
  <c r="AS84" i="7"/>
  <c r="AS85" i="7"/>
  <c r="AS82" i="7"/>
  <c r="X82" i="20"/>
  <c r="Y82" i="20" s="1"/>
  <c r="X81" i="20"/>
  <c r="Y81" i="20" s="1"/>
  <c r="X98" i="20"/>
  <c r="Y98" i="20" s="1"/>
  <c r="X84" i="20"/>
  <c r="Y84" i="20" s="1"/>
  <c r="X83" i="20"/>
  <c r="Y83" i="20" s="1"/>
  <c r="AU119" i="7"/>
  <c r="AU160" i="7"/>
  <c r="AV160" i="7" s="1"/>
  <c r="BG160" i="7" s="1"/>
  <c r="AU161" i="7"/>
  <c r="AV161" i="7" s="1"/>
  <c r="BG161" i="7" s="1"/>
  <c r="AU117" i="7"/>
  <c r="AU118" i="7"/>
  <c r="AU114" i="7"/>
  <c r="AU115" i="7"/>
  <c r="AU116" i="7"/>
  <c r="Z118" i="20"/>
  <c r="AA118" i="20" s="1"/>
  <c r="Z115" i="20"/>
  <c r="AA115" i="20" s="1"/>
  <c r="Z160" i="20"/>
  <c r="AA160" i="20" s="1"/>
  <c r="Z113" i="20"/>
  <c r="AA113" i="20" s="1"/>
  <c r="Z117" i="20"/>
  <c r="AA117" i="20" s="1"/>
  <c r="Z114" i="20"/>
  <c r="AA114" i="20" s="1"/>
  <c r="Z159" i="20"/>
  <c r="AA159" i="20" s="1"/>
  <c r="Z116" i="20"/>
  <c r="AA116" i="20" s="1"/>
  <c r="AS121" i="7"/>
  <c r="AT121" i="7" s="1"/>
  <c r="BH121" i="7" s="1"/>
  <c r="AS120" i="7"/>
  <c r="X119" i="20"/>
  <c r="Y119" i="20" s="1"/>
  <c r="AU111" i="7"/>
  <c r="AU112" i="7"/>
  <c r="AU89" i="7"/>
  <c r="AU113" i="7"/>
  <c r="AV113" i="7" s="1"/>
  <c r="AU109" i="7"/>
  <c r="AU149" i="7"/>
  <c r="AU110" i="7"/>
  <c r="AU90" i="7"/>
  <c r="AU91" i="7"/>
  <c r="AU150" i="7"/>
  <c r="AU147" i="7"/>
  <c r="AU148" i="7"/>
  <c r="Z146" i="20"/>
  <c r="AA146" i="20" s="1"/>
  <c r="Z108" i="20"/>
  <c r="AA108" i="20" s="1"/>
  <c r="Z90" i="20"/>
  <c r="AA90" i="20" s="1"/>
  <c r="Z112" i="20"/>
  <c r="AA112" i="20" s="1"/>
  <c r="Z148" i="20"/>
  <c r="AA148" i="20" s="1"/>
  <c r="Z110" i="20"/>
  <c r="AA110" i="20" s="1"/>
  <c r="Z89" i="20"/>
  <c r="AA89" i="20" s="1"/>
  <c r="Z111" i="20"/>
  <c r="AA111" i="20" s="1"/>
  <c r="Z145" i="20"/>
  <c r="AA145" i="20" s="1"/>
  <c r="Z147" i="20"/>
  <c r="AA147" i="20" s="1"/>
  <c r="Z88" i="20"/>
  <c r="AA88" i="20" s="1"/>
  <c r="Z109" i="20"/>
  <c r="AA109" i="20" s="1"/>
  <c r="AU85" i="7"/>
  <c r="AU84" i="7"/>
  <c r="AU99" i="7"/>
  <c r="AU82" i="7"/>
  <c r="AU83" i="7"/>
  <c r="Z98" i="20"/>
  <c r="AA98" i="20" s="1"/>
  <c r="Z84" i="20"/>
  <c r="AA84" i="20" s="1"/>
  <c r="Z81" i="20"/>
  <c r="AA81" i="20" s="1"/>
  <c r="Z82" i="20"/>
  <c r="AA82" i="20" s="1"/>
  <c r="Z83" i="20"/>
  <c r="AA83" i="20" s="1"/>
  <c r="AU88" i="7"/>
  <c r="Z87" i="20"/>
  <c r="AA87" i="20" s="1"/>
  <c r="AS68" i="7"/>
  <c r="AS171" i="7"/>
  <c r="AS69" i="7"/>
  <c r="AS70" i="7"/>
  <c r="AS172" i="7"/>
  <c r="AS73" i="7"/>
  <c r="AS81" i="7"/>
  <c r="AS72" i="7"/>
  <c r="AS71" i="7"/>
  <c r="AS74" i="7"/>
  <c r="X73" i="20"/>
  <c r="Y73" i="20" s="1"/>
  <c r="X72" i="20"/>
  <c r="Y72" i="20" s="1"/>
  <c r="X170" i="20"/>
  <c r="Y170" i="20" s="1"/>
  <c r="X171" i="20"/>
  <c r="Y171" i="20" s="1"/>
  <c r="X70" i="20"/>
  <c r="Y70" i="20" s="1"/>
  <c r="X80" i="20"/>
  <c r="Y80" i="20" s="1"/>
  <c r="X68" i="20"/>
  <c r="Y68" i="20" s="1"/>
  <c r="X71" i="20"/>
  <c r="Y71" i="20" s="1"/>
  <c r="X74" i="20"/>
  <c r="Y74" i="20" s="1"/>
  <c r="X69" i="20"/>
  <c r="Y69" i="20" s="1"/>
  <c r="AS88" i="7"/>
  <c r="X87" i="20"/>
  <c r="Y87" i="20" s="1"/>
  <c r="AS107" i="7"/>
  <c r="AT107" i="7" s="1"/>
  <c r="AS123" i="7"/>
  <c r="AS139" i="7"/>
  <c r="AS163" i="7"/>
  <c r="AT163" i="7" s="1"/>
  <c r="BH163" i="7" s="1"/>
  <c r="AS108" i="7"/>
  <c r="AS124" i="7"/>
  <c r="AS140" i="7"/>
  <c r="AS164" i="7"/>
  <c r="AT164" i="7" s="1"/>
  <c r="BH164" i="7" s="1"/>
  <c r="AS141" i="7"/>
  <c r="AS96" i="7"/>
  <c r="AS142" i="7"/>
  <c r="AS130" i="7"/>
  <c r="AS162" i="7"/>
  <c r="AT162" i="7" s="1"/>
  <c r="BH162" i="7" s="1"/>
  <c r="AS95" i="7"/>
  <c r="AS106" i="7"/>
  <c r="AS122" i="7"/>
  <c r="AS170" i="7"/>
  <c r="X106" i="20"/>
  <c r="Y106" i="20" s="1"/>
  <c r="X122" i="20"/>
  <c r="Y122" i="20" s="1"/>
  <c r="X137" i="20"/>
  <c r="Y137" i="20" s="1"/>
  <c r="X138" i="20"/>
  <c r="Y138" i="20" s="1"/>
  <c r="X94" i="20"/>
  <c r="Y94" i="20" s="1"/>
  <c r="X162" i="20"/>
  <c r="Y162" i="20" s="1"/>
  <c r="X120" i="20"/>
  <c r="Y120" i="20" s="1"/>
  <c r="X140" i="20"/>
  <c r="Y140" i="20" s="1"/>
  <c r="X169" i="20"/>
  <c r="Y169" i="20" s="1"/>
  <c r="X163" i="20"/>
  <c r="Y163" i="20" s="1"/>
  <c r="X161" i="20"/>
  <c r="Y161" i="20" s="1"/>
  <c r="X128" i="20"/>
  <c r="Y128" i="20" s="1"/>
  <c r="X121" i="20"/>
  <c r="Y121" i="20" s="1"/>
  <c r="X105" i="20"/>
  <c r="Y105" i="20" s="1"/>
  <c r="X95" i="20"/>
  <c r="Y95" i="20" s="1"/>
  <c r="X139" i="20"/>
  <c r="Y139" i="20" s="1"/>
  <c r="X107" i="20"/>
  <c r="Y107" i="20" s="1"/>
  <c r="AU55" i="7"/>
  <c r="AU56" i="7"/>
  <c r="AU53" i="7"/>
  <c r="AU54" i="7"/>
  <c r="Z54" i="22"/>
  <c r="AA54" i="22" s="1"/>
  <c r="Z54" i="20"/>
  <c r="AA54" i="20" s="1"/>
  <c r="Z56" i="22"/>
  <c r="AA56" i="22" s="1"/>
  <c r="Z53" i="22"/>
  <c r="AA53" i="22" s="1"/>
  <c r="Z55" i="20"/>
  <c r="AA55" i="20" s="1"/>
  <c r="Z56" i="20"/>
  <c r="AA56" i="20" s="1"/>
  <c r="Z55" i="22"/>
  <c r="AA55" i="22" s="1"/>
  <c r="Z53" i="20"/>
  <c r="AA53" i="20" s="1"/>
  <c r="AU120" i="7"/>
  <c r="AU121" i="7"/>
  <c r="AV121" i="7" s="1"/>
  <c r="BG121" i="7" s="1"/>
  <c r="Z119" i="20"/>
  <c r="AA119" i="20" s="1"/>
  <c r="AS28" i="7"/>
  <c r="X28" i="22"/>
  <c r="Y28" i="22" s="1"/>
  <c r="X28" i="20"/>
  <c r="Y28" i="20" s="1"/>
  <c r="AS169" i="7"/>
  <c r="AT169" i="7" s="1"/>
  <c r="BH169" i="7" s="1"/>
  <c r="AS168" i="7"/>
  <c r="AT168" i="7" s="1"/>
  <c r="BH168" i="7" s="1"/>
  <c r="X168" i="20"/>
  <c r="Y168" i="20" s="1"/>
  <c r="X167" i="20"/>
  <c r="Y167" i="20" s="1"/>
  <c r="AU159" i="7"/>
  <c r="AV159" i="7" s="1"/>
  <c r="BG159" i="7" s="1"/>
  <c r="AU158" i="7"/>
  <c r="AV158" i="7" s="1"/>
  <c r="BG158" i="7" s="1"/>
  <c r="Z158" i="20"/>
  <c r="AA158" i="20" s="1"/>
  <c r="Z157" i="20"/>
  <c r="AA157" i="20" s="1"/>
  <c r="AS158" i="7"/>
  <c r="AT158" i="7" s="1"/>
  <c r="BH158" i="7" s="1"/>
  <c r="AS159" i="7"/>
  <c r="AT159" i="7" s="1"/>
  <c r="BH159" i="7" s="1"/>
  <c r="X157" i="20"/>
  <c r="Y157" i="20" s="1"/>
  <c r="X158" i="20"/>
  <c r="Y158" i="20" s="1"/>
  <c r="AS166" i="7"/>
  <c r="AT166" i="7" s="1"/>
  <c r="BH166" i="7" s="1"/>
  <c r="AS167" i="7"/>
  <c r="AT167" i="7" s="1"/>
  <c r="BH167" i="7" s="1"/>
  <c r="X166" i="20"/>
  <c r="Y166" i="20" s="1"/>
  <c r="X165" i="20"/>
  <c r="Y165" i="20" s="1"/>
  <c r="AU31" i="7"/>
  <c r="AU39" i="7"/>
  <c r="AU32" i="7"/>
  <c r="AU40" i="7"/>
  <c r="AU33" i="7"/>
  <c r="AU41" i="7"/>
  <c r="AU29" i="7"/>
  <c r="AU37" i="7"/>
  <c r="AU42" i="7"/>
  <c r="AU43" i="7"/>
  <c r="AU44" i="7"/>
  <c r="AU35" i="7"/>
  <c r="AU36" i="7"/>
  <c r="AU38" i="7"/>
  <c r="AU30" i="7"/>
  <c r="AU34" i="7"/>
  <c r="Z35" i="20"/>
  <c r="AA35" i="20" s="1"/>
  <c r="Z33" i="20"/>
  <c r="AA33" i="20" s="1"/>
  <c r="Z31" i="20"/>
  <c r="AA31" i="20" s="1"/>
  <c r="Z29" i="20"/>
  <c r="AA29" i="20" s="1"/>
  <c r="Z32" i="22"/>
  <c r="AA32" i="22" s="1"/>
  <c r="Z38" i="20"/>
  <c r="AA38" i="20" s="1"/>
  <c r="Z34" i="22"/>
  <c r="AA34" i="22" s="1"/>
  <c r="Z40" i="20"/>
  <c r="AA40" i="20" s="1"/>
  <c r="Z44" i="22"/>
  <c r="AA44" i="22" s="1"/>
  <c r="Z42" i="22"/>
  <c r="AA42" i="22" s="1"/>
  <c r="Z40" i="22"/>
  <c r="AA40" i="22" s="1"/>
  <c r="Z38" i="22"/>
  <c r="AA38" i="22" s="1"/>
  <c r="Z36" i="22"/>
  <c r="AA36" i="22" s="1"/>
  <c r="Z42" i="20"/>
  <c r="AA42" i="20" s="1"/>
  <c r="Z30" i="22"/>
  <c r="AA30" i="22" s="1"/>
  <c r="Z35" i="22"/>
  <c r="AA35" i="22" s="1"/>
  <c r="Z33" i="22"/>
  <c r="AA33" i="22" s="1"/>
  <c r="Z31" i="22"/>
  <c r="AA31" i="22" s="1"/>
  <c r="Z29" i="22"/>
  <c r="AA29" i="22" s="1"/>
  <c r="Z43" i="20"/>
  <c r="AA43" i="20" s="1"/>
  <c r="Z41" i="20"/>
  <c r="AA41" i="20" s="1"/>
  <c r="Z39" i="20"/>
  <c r="AA39" i="20" s="1"/>
  <c r="Z37" i="20"/>
  <c r="AA37" i="20" s="1"/>
  <c r="Z44" i="20"/>
  <c r="AA44" i="20" s="1"/>
  <c r="Z30" i="20"/>
  <c r="AA30" i="20" s="1"/>
  <c r="Z39" i="22"/>
  <c r="AA39" i="22" s="1"/>
  <c r="Z41" i="22"/>
  <c r="AA41" i="22" s="1"/>
  <c r="Z34" i="20"/>
  <c r="AA34" i="20" s="1"/>
  <c r="Z32" i="20"/>
  <c r="AA32" i="20" s="1"/>
  <c r="Z37" i="22"/>
  <c r="AA37" i="22" s="1"/>
  <c r="Z36" i="20"/>
  <c r="AA36" i="20" s="1"/>
  <c r="Z43" i="22"/>
  <c r="AA43" i="22" s="1"/>
  <c r="AU7" i="7"/>
  <c r="AU191" i="7"/>
  <c r="AV191" i="7" s="1"/>
  <c r="BG191" i="7" s="1"/>
  <c r="AU8" i="7"/>
  <c r="AU9" i="7"/>
  <c r="AU5" i="7"/>
  <c r="AU13" i="7"/>
  <c r="AU189" i="7"/>
  <c r="AV189" i="7" s="1"/>
  <c r="BG189" i="7" s="1"/>
  <c r="AU10" i="7"/>
  <c r="AU190" i="7"/>
  <c r="AV190" i="7" s="1"/>
  <c r="BG190" i="7" s="1"/>
  <c r="AU11" i="7"/>
  <c r="AV11" i="7" s="1"/>
  <c r="BG11" i="7" s="1"/>
  <c r="AU12" i="7"/>
  <c r="AU14" i="7"/>
  <c r="AU2" i="7"/>
  <c r="AU3" i="7"/>
  <c r="AU4" i="7"/>
  <c r="AU6" i="7"/>
  <c r="AU188" i="7"/>
  <c r="AV188" i="7" s="1"/>
  <c r="BG188" i="7" s="1"/>
  <c r="Z13" i="22"/>
  <c r="AA13" i="22" s="1"/>
  <c r="Z11" i="22"/>
  <c r="AA11" i="22" s="1"/>
  <c r="Z7" i="22"/>
  <c r="AA7" i="22" s="1"/>
  <c r="Z190" i="20"/>
  <c r="AA190" i="20" s="1"/>
  <c r="Z188" i="20"/>
  <c r="AA188" i="20" s="1"/>
  <c r="Z10" i="22"/>
  <c r="AA10" i="22" s="1"/>
  <c r="Z75" i="22"/>
  <c r="AA75" i="22" s="1"/>
  <c r="Z73" i="22"/>
  <c r="AA73" i="22" s="1"/>
  <c r="Z9" i="22"/>
  <c r="AA9" i="22" s="1"/>
  <c r="Z13" i="20"/>
  <c r="AA13" i="20" s="1"/>
  <c r="Z11" i="20"/>
  <c r="AA11" i="20" s="1"/>
  <c r="Z7" i="20"/>
  <c r="AA7" i="20" s="1"/>
  <c r="Z4" i="20"/>
  <c r="AA4" i="20" s="1"/>
  <c r="Z12" i="22"/>
  <c r="AA12" i="22" s="1"/>
  <c r="Z8" i="22"/>
  <c r="AA8" i="22" s="1"/>
  <c r="Z189" i="20"/>
  <c r="AA189" i="20" s="1"/>
  <c r="Z4" i="22"/>
  <c r="AA4" i="22" s="1"/>
  <c r="Z9" i="20"/>
  <c r="AA9" i="20" s="1"/>
  <c r="Z6" i="22"/>
  <c r="AA6" i="22" s="1"/>
  <c r="Z2" i="22"/>
  <c r="AA2" i="22" s="1"/>
  <c r="Z76" i="22"/>
  <c r="AA76" i="22" s="1"/>
  <c r="Z74" i="22"/>
  <c r="AA74" i="22" s="1"/>
  <c r="Z14" i="22"/>
  <c r="AA14" i="22" s="1"/>
  <c r="Z5" i="20"/>
  <c r="AA5" i="20" s="1"/>
  <c r="Z3" i="20"/>
  <c r="AA3" i="20" s="1"/>
  <c r="Z187" i="20"/>
  <c r="AA187" i="20" s="1"/>
  <c r="Z10" i="20"/>
  <c r="AA10" i="20" s="1"/>
  <c r="Z6" i="20"/>
  <c r="AA6" i="20" s="1"/>
  <c r="Z12" i="20"/>
  <c r="AA12" i="20" s="1"/>
  <c r="Z3" i="22"/>
  <c r="AA3" i="22" s="1"/>
  <c r="Z5" i="22"/>
  <c r="AA5" i="22" s="1"/>
  <c r="Z14" i="20"/>
  <c r="AA14" i="20" s="1"/>
  <c r="Z8" i="20"/>
  <c r="AA8" i="20" s="1"/>
  <c r="Z2" i="20"/>
  <c r="AA2" i="20" s="1"/>
  <c r="AS3" i="7"/>
  <c r="AS11" i="7"/>
  <c r="AT11" i="7" s="1"/>
  <c r="BH11" i="7" s="1"/>
  <c r="AS4" i="7"/>
  <c r="AS12" i="7"/>
  <c r="AS188" i="7"/>
  <c r="AT188" i="7" s="1"/>
  <c r="BH188" i="7" s="1"/>
  <c r="AS5" i="7"/>
  <c r="AS13" i="7"/>
  <c r="AS189" i="7"/>
  <c r="AT189" i="7" s="1"/>
  <c r="BH189" i="7" s="1"/>
  <c r="AS6" i="7"/>
  <c r="AS14" i="7"/>
  <c r="AS8" i="7"/>
  <c r="AS9" i="7"/>
  <c r="AS7" i="7"/>
  <c r="AS190" i="7"/>
  <c r="AT190" i="7" s="1"/>
  <c r="BH190" i="7" s="1"/>
  <c r="AS2" i="7"/>
  <c r="AS10" i="7"/>
  <c r="AS191" i="7"/>
  <c r="AT191" i="7" s="1"/>
  <c r="BH191" i="7" s="1"/>
  <c r="X5" i="20"/>
  <c r="Y5" i="20" s="1"/>
  <c r="X3" i="20"/>
  <c r="Y3" i="20" s="1"/>
  <c r="X11" i="20"/>
  <c r="Y11" i="20" s="1"/>
  <c r="X6" i="22"/>
  <c r="Y6" i="22" s="1"/>
  <c r="X13" i="22"/>
  <c r="Y13" i="22" s="1"/>
  <c r="X11" i="22"/>
  <c r="Y11" i="22" s="1"/>
  <c r="X7" i="22"/>
  <c r="Y7" i="22" s="1"/>
  <c r="X190" i="20"/>
  <c r="Y190" i="20" s="1"/>
  <c r="X188" i="20"/>
  <c r="Y188" i="20" s="1"/>
  <c r="X2" i="22"/>
  <c r="Y2" i="22" s="1"/>
  <c r="X75" i="22"/>
  <c r="Y75" i="22" s="1"/>
  <c r="X73" i="22"/>
  <c r="Y73" i="22" s="1"/>
  <c r="X9" i="22"/>
  <c r="Y9" i="22" s="1"/>
  <c r="X13" i="20"/>
  <c r="Y13" i="20" s="1"/>
  <c r="X7" i="20"/>
  <c r="Y7" i="20" s="1"/>
  <c r="X12" i="22"/>
  <c r="Y12" i="22" s="1"/>
  <c r="X76" i="22"/>
  <c r="Y76" i="22" s="1"/>
  <c r="X74" i="22"/>
  <c r="Y74" i="22" s="1"/>
  <c r="X5" i="22"/>
  <c r="Y5" i="22" s="1"/>
  <c r="X3" i="22"/>
  <c r="Y3" i="22" s="1"/>
  <c r="X14" i="20"/>
  <c r="Y14" i="20" s="1"/>
  <c r="X4" i="22"/>
  <c r="Y4" i="22" s="1"/>
  <c r="X9" i="20"/>
  <c r="Y9" i="20" s="1"/>
  <c r="X187" i="20"/>
  <c r="Y187" i="20" s="1"/>
  <c r="X4" i="20"/>
  <c r="Y4" i="20" s="1"/>
  <c r="X14" i="22"/>
  <c r="Y14" i="22" s="1"/>
  <c r="X6" i="20"/>
  <c r="Y6" i="20" s="1"/>
  <c r="X2" i="20"/>
  <c r="Y2" i="20" s="1"/>
  <c r="X8" i="22"/>
  <c r="Y8" i="22" s="1"/>
  <c r="X10" i="20"/>
  <c r="Y10" i="20" s="1"/>
  <c r="X12" i="20"/>
  <c r="Y12" i="20" s="1"/>
  <c r="X10" i="22"/>
  <c r="Y10" i="22" s="1"/>
  <c r="X189" i="20"/>
  <c r="Y189" i="20" s="1"/>
  <c r="X8" i="20"/>
  <c r="Y8" i="20" s="1"/>
  <c r="AU143" i="7"/>
  <c r="AU144" i="7"/>
  <c r="AU145" i="7"/>
  <c r="AU197" i="7"/>
  <c r="AU146" i="7"/>
  <c r="AU154" i="7"/>
  <c r="AU155" i="7"/>
  <c r="Z143" i="20"/>
  <c r="AA143" i="20" s="1"/>
  <c r="Z142" i="20"/>
  <c r="AA142" i="20" s="1"/>
  <c r="Z154" i="20"/>
  <c r="AA154" i="20" s="1"/>
  <c r="Z141" i="20"/>
  <c r="AA141" i="20" s="1"/>
  <c r="Z144" i="20"/>
  <c r="AA144" i="20" s="1"/>
  <c r="AU28" i="7"/>
  <c r="Z28" i="22"/>
  <c r="AA28" i="22" s="1"/>
  <c r="Z28" i="20"/>
  <c r="AA28" i="20" s="1"/>
  <c r="AU168" i="7"/>
  <c r="AV168" i="7" s="1"/>
  <c r="BG168" i="7" s="1"/>
  <c r="AU169" i="7"/>
  <c r="AV169" i="7" s="1"/>
  <c r="BG169" i="7" s="1"/>
  <c r="Z168" i="20"/>
  <c r="AA168" i="20" s="1"/>
  <c r="Z167" i="20"/>
  <c r="AA167" i="20" s="1"/>
  <c r="AS155" i="7"/>
  <c r="AS197" i="7"/>
  <c r="AS145" i="7"/>
  <c r="AS143" i="7"/>
  <c r="AS144" i="7"/>
  <c r="AS154" i="7"/>
  <c r="AS146" i="7"/>
  <c r="X141" i="20"/>
  <c r="Y141" i="20" s="1"/>
  <c r="X143" i="20"/>
  <c r="Y143" i="20" s="1"/>
  <c r="X144" i="20"/>
  <c r="Y144" i="20" s="1"/>
  <c r="X154" i="20"/>
  <c r="Y154" i="20" s="1"/>
  <c r="X142" i="20"/>
  <c r="Y142" i="20" s="1"/>
  <c r="AU103" i="7"/>
  <c r="AU127" i="7"/>
  <c r="AU104" i="7"/>
  <c r="AU128" i="7"/>
  <c r="AU105" i="7"/>
  <c r="AU129" i="7"/>
  <c r="AU165" i="7"/>
  <c r="AV165" i="7" s="1"/>
  <c r="Z104" i="20"/>
  <c r="AA104" i="20" s="1"/>
  <c r="Z127" i="20"/>
  <c r="AA127" i="20" s="1"/>
  <c r="Z103" i="20"/>
  <c r="AA103" i="20" s="1"/>
  <c r="Z164" i="20"/>
  <c r="AA164" i="20" s="1"/>
  <c r="Z125" i="20"/>
  <c r="AA125" i="20" s="1"/>
  <c r="Z102" i="20"/>
  <c r="AA102" i="20" s="1"/>
  <c r="Z126" i="20"/>
  <c r="AA126" i="20" s="1"/>
  <c r="AU47" i="7"/>
  <c r="AU48" i="7"/>
  <c r="AU49" i="7"/>
  <c r="AU45" i="7"/>
  <c r="AU173" i="7"/>
  <c r="AU174" i="7"/>
  <c r="AU50" i="7"/>
  <c r="AU46" i="7"/>
  <c r="AU51" i="7"/>
  <c r="AU52" i="7"/>
  <c r="Z52" i="22"/>
  <c r="AA52" i="22" s="1"/>
  <c r="Z173" i="20"/>
  <c r="AA173" i="20" s="1"/>
  <c r="Z50" i="22"/>
  <c r="AA50" i="22" s="1"/>
  <c r="Z48" i="22"/>
  <c r="AA48" i="22" s="1"/>
  <c r="Z46" i="22"/>
  <c r="AA46" i="22" s="1"/>
  <c r="Z52" i="20"/>
  <c r="AA52" i="20" s="1"/>
  <c r="Z50" i="20"/>
  <c r="AA50" i="20" s="1"/>
  <c r="Z48" i="20"/>
  <c r="AA48" i="20" s="1"/>
  <c r="Z46" i="20"/>
  <c r="AA46" i="20" s="1"/>
  <c r="Z51" i="22"/>
  <c r="AA51" i="22" s="1"/>
  <c r="Z60" i="22"/>
  <c r="AA60" i="22" s="1"/>
  <c r="Z49" i="22"/>
  <c r="AA49" i="22" s="1"/>
  <c r="Z47" i="22"/>
  <c r="AA47" i="22" s="1"/>
  <c r="Z45" i="22"/>
  <c r="AA45" i="22" s="1"/>
  <c r="Z172" i="20"/>
  <c r="AA172" i="20" s="1"/>
  <c r="Z47" i="20"/>
  <c r="AA47" i="20" s="1"/>
  <c r="Z49" i="20"/>
  <c r="AA49" i="20" s="1"/>
  <c r="Z45" i="20"/>
  <c r="AA45" i="20" s="1"/>
  <c r="Z51" i="20"/>
  <c r="AA51" i="20" s="1"/>
  <c r="AU97" i="7"/>
  <c r="AU98" i="7"/>
  <c r="Z96" i="20"/>
  <c r="AA96" i="20" s="1"/>
  <c r="Z97" i="20"/>
  <c r="AA97" i="20" s="1"/>
  <c r="AS165" i="7"/>
  <c r="AT165" i="7" s="1"/>
  <c r="AS105" i="7"/>
  <c r="AS129" i="7"/>
  <c r="AS127" i="7"/>
  <c r="AS128" i="7"/>
  <c r="AS103" i="7"/>
  <c r="AS104" i="7"/>
  <c r="X125" i="20"/>
  <c r="Y125" i="20" s="1"/>
  <c r="X102" i="20"/>
  <c r="Y102" i="20" s="1"/>
  <c r="X104" i="20"/>
  <c r="Y104" i="20" s="1"/>
  <c r="X164" i="20"/>
  <c r="Y164" i="20" s="1"/>
  <c r="X127" i="20"/>
  <c r="Y127" i="20" s="1"/>
  <c r="X126" i="20"/>
  <c r="Y126" i="20" s="1"/>
  <c r="X103" i="20"/>
  <c r="Y103" i="20" s="1"/>
  <c r="AS51" i="7"/>
  <c r="AS52" i="7"/>
  <c r="AS45" i="7"/>
  <c r="AS173" i="7"/>
  <c r="AS46" i="7"/>
  <c r="AS49" i="7"/>
  <c r="AS50" i="7"/>
  <c r="AS174" i="7"/>
  <c r="AS47" i="7"/>
  <c r="AS48" i="7"/>
  <c r="X46" i="20"/>
  <c r="Y46" i="20" s="1"/>
  <c r="X52" i="22"/>
  <c r="Y52" i="22" s="1"/>
  <c r="X48" i="20"/>
  <c r="Y48" i="20" s="1"/>
  <c r="X50" i="22"/>
  <c r="Y50" i="22" s="1"/>
  <c r="X48" i="22"/>
  <c r="Y48" i="22" s="1"/>
  <c r="X46" i="22"/>
  <c r="Y46" i="22" s="1"/>
  <c r="X52" i="20"/>
  <c r="Y52" i="20" s="1"/>
  <c r="X51" i="22"/>
  <c r="Y51" i="22" s="1"/>
  <c r="X60" i="22"/>
  <c r="Y60" i="22" s="1"/>
  <c r="X49" i="20"/>
  <c r="Y49" i="20" s="1"/>
  <c r="X47" i="20"/>
  <c r="Y47" i="20" s="1"/>
  <c r="X45" i="20"/>
  <c r="Y45" i="20" s="1"/>
  <c r="X50" i="20"/>
  <c r="Y50" i="20" s="1"/>
  <c r="X45" i="22"/>
  <c r="Y45" i="22" s="1"/>
  <c r="X172" i="20"/>
  <c r="Y172" i="20" s="1"/>
  <c r="X47" i="22"/>
  <c r="Y47" i="22" s="1"/>
  <c r="X51" i="20"/>
  <c r="Y51" i="20" s="1"/>
  <c r="X173" i="20"/>
  <c r="Y173" i="20" s="1"/>
  <c r="X49" i="22"/>
  <c r="Y49" i="22" s="1"/>
  <c r="AS97" i="7"/>
  <c r="AS98" i="7"/>
  <c r="X96" i="20"/>
  <c r="Y96" i="20" s="1"/>
  <c r="X97" i="20"/>
  <c r="Y97" i="20" s="1"/>
  <c r="AV25" i="7"/>
  <c r="AZ25" i="7"/>
  <c r="AT25" i="7"/>
  <c r="AX25" i="7"/>
  <c r="AX53" i="7"/>
  <c r="AT53" i="7"/>
  <c r="AV53" i="7"/>
  <c r="AZ53" i="7"/>
  <c r="AX105" i="7"/>
  <c r="AV105" i="7"/>
  <c r="AT105" i="7"/>
  <c r="AZ105" i="7"/>
  <c r="AZ24" i="7"/>
  <c r="AV24" i="7"/>
  <c r="AT24" i="7"/>
  <c r="AX24" i="7"/>
  <c r="AZ112" i="7"/>
  <c r="AV112" i="7"/>
  <c r="AT112" i="7"/>
  <c r="AX112" i="7"/>
  <c r="AX103" i="7"/>
  <c r="AV103" i="7"/>
  <c r="AT103" i="7"/>
  <c r="AZ103" i="7"/>
  <c r="C3" i="7"/>
  <c r="AR106" i="7"/>
  <c r="AQ33" i="7"/>
  <c r="AR33" i="7"/>
  <c r="AQ107" i="7"/>
  <c r="AQ106" i="7"/>
  <c r="AR96" i="7"/>
  <c r="AP67" i="7"/>
  <c r="AR67" i="7"/>
  <c r="AQ67" i="7"/>
  <c r="AP19" i="7"/>
  <c r="AR19" i="7"/>
  <c r="AQ19" i="7"/>
  <c r="AP58" i="7"/>
  <c r="AR58" i="7"/>
  <c r="AQ58" i="7"/>
  <c r="AP123" i="7"/>
  <c r="AQ123" i="7"/>
  <c r="AR123" i="7"/>
  <c r="AP85" i="7"/>
  <c r="AR85" i="7"/>
  <c r="AQ85" i="7"/>
  <c r="AQ143" i="7"/>
  <c r="AR143" i="7"/>
  <c r="AP66" i="7"/>
  <c r="AR66" i="7"/>
  <c r="AQ66" i="7"/>
  <c r="AP12" i="7"/>
  <c r="AR12" i="7"/>
  <c r="AQ12" i="7"/>
  <c r="AP37" i="7"/>
  <c r="AQ37" i="7"/>
  <c r="AR37" i="7"/>
  <c r="AP45" i="7"/>
  <c r="AQ45" i="7"/>
  <c r="AR45" i="7"/>
  <c r="AR2" i="7"/>
  <c r="AP2" i="7"/>
  <c r="AQ2" i="7"/>
  <c r="AQ111" i="7"/>
  <c r="AR111" i="7"/>
  <c r="AP5" i="7"/>
  <c r="AR5" i="7"/>
  <c r="AQ5" i="7"/>
  <c r="AP91" i="7"/>
  <c r="AQ91" i="7"/>
  <c r="AR91" i="7"/>
  <c r="AP101" i="7"/>
  <c r="AR101" i="7"/>
  <c r="AQ101" i="7"/>
  <c r="AP71" i="7"/>
  <c r="AQ71" i="7"/>
  <c r="AR71" i="7"/>
  <c r="AP149" i="7"/>
  <c r="AQ149" i="7"/>
  <c r="AR149" i="7"/>
  <c r="AP133" i="7"/>
  <c r="AQ133" i="7"/>
  <c r="AR133" i="7"/>
  <c r="AR4" i="7"/>
  <c r="AQ4" i="7"/>
  <c r="AP4" i="7"/>
  <c r="AP56" i="7"/>
  <c r="AR56" i="7"/>
  <c r="AQ56" i="7"/>
  <c r="AR120" i="7"/>
  <c r="AQ120" i="7"/>
  <c r="AP82" i="7"/>
  <c r="AQ82" i="7"/>
  <c r="AR82" i="7"/>
  <c r="AP35" i="7"/>
  <c r="AR35" i="7"/>
  <c r="AQ35" i="7"/>
  <c r="AP42" i="7"/>
  <c r="AR42" i="7"/>
  <c r="AQ42" i="7"/>
  <c r="AP48" i="7"/>
  <c r="AR48" i="7"/>
  <c r="AQ48" i="7"/>
  <c r="AP23" i="7"/>
  <c r="AQ23" i="7"/>
  <c r="AR23" i="7"/>
  <c r="AR127" i="7"/>
  <c r="AQ127" i="7"/>
  <c r="AP99" i="7"/>
  <c r="AQ99" i="7"/>
  <c r="AR99" i="7"/>
  <c r="AP81" i="7"/>
  <c r="AQ81" i="7"/>
  <c r="AR81" i="7"/>
  <c r="AP74" i="7"/>
  <c r="AR74" i="7"/>
  <c r="AQ74" i="7"/>
  <c r="AR139" i="7"/>
  <c r="AQ139" i="7"/>
  <c r="AP131" i="7"/>
  <c r="AQ131" i="7"/>
  <c r="AR131" i="7"/>
  <c r="AP102" i="7"/>
  <c r="AR102" i="7"/>
  <c r="AQ102" i="7"/>
  <c r="AP34" i="7"/>
  <c r="AR34" i="7"/>
  <c r="AQ34" i="7"/>
  <c r="AP41" i="7"/>
  <c r="AR41" i="7"/>
  <c r="AQ41" i="7"/>
  <c r="AP47" i="7"/>
  <c r="AR47" i="7"/>
  <c r="AQ47" i="7"/>
  <c r="AQ7" i="7"/>
  <c r="AP7" i="7"/>
  <c r="AR7" i="7"/>
  <c r="AP14" i="7"/>
  <c r="AQ14" i="7"/>
  <c r="AR14" i="7"/>
  <c r="AP22" i="7"/>
  <c r="AQ22" i="7"/>
  <c r="AR22" i="7"/>
  <c r="AP54" i="7"/>
  <c r="AQ54" i="7"/>
  <c r="AR54" i="7"/>
  <c r="AP116" i="7"/>
  <c r="AR116" i="7"/>
  <c r="AQ116" i="7"/>
  <c r="AP98" i="7"/>
  <c r="AQ98" i="7"/>
  <c r="AR98" i="7"/>
  <c r="AP89" i="7"/>
  <c r="AR89" i="7"/>
  <c r="AQ89" i="7"/>
  <c r="AP80" i="7"/>
  <c r="AQ80" i="7"/>
  <c r="AR80" i="7"/>
  <c r="AP68" i="7"/>
  <c r="AQ68" i="7"/>
  <c r="AR68" i="7"/>
  <c r="AP60" i="7"/>
  <c r="AQ60" i="7"/>
  <c r="AR60" i="7"/>
  <c r="AR119" i="7"/>
  <c r="AQ119" i="7"/>
  <c r="AP146" i="7"/>
  <c r="AR146" i="7"/>
  <c r="AQ146" i="7"/>
  <c r="AP138" i="7"/>
  <c r="AQ138" i="7"/>
  <c r="AR138" i="7"/>
  <c r="AQ95" i="7"/>
  <c r="AP30" i="7"/>
  <c r="AR30" i="7"/>
  <c r="AQ30" i="7"/>
  <c r="AQ52" i="7"/>
  <c r="AR52" i="7"/>
  <c r="AP13" i="7"/>
  <c r="AR13" i="7"/>
  <c r="AQ13" i="7"/>
  <c r="AP104" i="7"/>
  <c r="AR104" i="7"/>
  <c r="AQ104" i="7"/>
  <c r="AP76" i="7"/>
  <c r="AQ76" i="7"/>
  <c r="AR76" i="7"/>
  <c r="AP72" i="7"/>
  <c r="AR72" i="7"/>
  <c r="AQ72" i="7"/>
  <c r="AR135" i="7"/>
  <c r="AQ135" i="7"/>
  <c r="AP26" i="7"/>
  <c r="AQ26" i="7"/>
  <c r="AR26" i="7"/>
  <c r="AP57" i="7"/>
  <c r="AR57" i="7"/>
  <c r="AQ57" i="7"/>
  <c r="AQ122" i="7"/>
  <c r="AR122" i="7"/>
  <c r="AP84" i="7"/>
  <c r="AR84" i="7"/>
  <c r="AQ84" i="7"/>
  <c r="AR150" i="7"/>
  <c r="AQ150" i="7"/>
  <c r="AP28" i="7"/>
  <c r="AR28" i="7"/>
  <c r="AQ28" i="7"/>
  <c r="AR129" i="7"/>
  <c r="AQ129" i="7"/>
  <c r="AP93" i="7"/>
  <c r="AR93" i="7"/>
  <c r="AQ93" i="7"/>
  <c r="AR64" i="7"/>
  <c r="AQ64" i="7"/>
  <c r="AP49" i="7"/>
  <c r="AR49" i="7"/>
  <c r="AQ49" i="7"/>
  <c r="AP128" i="7"/>
  <c r="AR128" i="7"/>
  <c r="AQ128" i="7"/>
  <c r="AP92" i="7"/>
  <c r="AR92" i="7"/>
  <c r="AQ92" i="7"/>
  <c r="AP148" i="7"/>
  <c r="AR148" i="7"/>
  <c r="AQ148" i="7"/>
  <c r="AP15" i="7"/>
  <c r="AQ15" i="7"/>
  <c r="AR15" i="7"/>
  <c r="AP55" i="7"/>
  <c r="AR55" i="7"/>
  <c r="AQ55" i="7"/>
  <c r="AP90" i="7"/>
  <c r="AQ90" i="7"/>
  <c r="AR90" i="7"/>
  <c r="AP69" i="7"/>
  <c r="AQ69" i="7"/>
  <c r="AR69" i="7"/>
  <c r="AR147" i="7"/>
  <c r="AQ147" i="7"/>
  <c r="AP125" i="7"/>
  <c r="AR125" i="7"/>
  <c r="AQ125" i="7"/>
  <c r="AP32" i="7"/>
  <c r="AR32" i="7"/>
  <c r="AQ32" i="7"/>
  <c r="AP40" i="7"/>
  <c r="AR40" i="7"/>
  <c r="AQ40" i="7"/>
  <c r="AP46" i="7"/>
  <c r="AQ46" i="7"/>
  <c r="AR46" i="7"/>
  <c r="AQ6" i="7"/>
  <c r="AP6" i="7"/>
  <c r="AR6" i="7"/>
  <c r="AR17" i="7"/>
  <c r="AP17" i="7"/>
  <c r="AQ17" i="7"/>
  <c r="AP21" i="7"/>
  <c r="AQ21" i="7"/>
  <c r="AR21" i="7"/>
  <c r="AP115" i="7"/>
  <c r="AR115" i="7"/>
  <c r="AQ115" i="7"/>
  <c r="AP97" i="7"/>
  <c r="AQ97" i="7"/>
  <c r="AR97" i="7"/>
  <c r="AP88" i="7"/>
  <c r="AQ88" i="7"/>
  <c r="AR88" i="7"/>
  <c r="AP78" i="7"/>
  <c r="AQ78" i="7"/>
  <c r="AR78" i="7"/>
  <c r="AP145" i="7"/>
  <c r="AR145" i="7"/>
  <c r="AQ145" i="7"/>
  <c r="AP137" i="7"/>
  <c r="AR137" i="7"/>
  <c r="AQ137" i="7"/>
  <c r="AR95" i="7"/>
  <c r="BH113" i="7"/>
  <c r="BG113" i="7"/>
  <c r="AR10" i="7"/>
  <c r="AQ10" i="7"/>
  <c r="AP10" i="7"/>
  <c r="AQ38" i="7"/>
  <c r="AR38" i="7"/>
  <c r="AP27" i="7"/>
  <c r="AR27" i="7"/>
  <c r="AQ27" i="7"/>
  <c r="AR18" i="7"/>
  <c r="AQ18" i="7"/>
  <c r="AP18" i="7"/>
  <c r="AP94" i="7"/>
  <c r="AR94" i="7"/>
  <c r="AQ94" i="7"/>
  <c r="AP75" i="7"/>
  <c r="AQ75" i="7"/>
  <c r="AR75" i="7"/>
  <c r="AP142" i="7"/>
  <c r="AQ142" i="7"/>
  <c r="AR142" i="7"/>
  <c r="AP134" i="7"/>
  <c r="AR134" i="7"/>
  <c r="AQ134" i="7"/>
  <c r="AP65" i="7"/>
  <c r="AR65" i="7"/>
  <c r="AQ65" i="7"/>
  <c r="AP29" i="7"/>
  <c r="AQ29" i="7"/>
  <c r="AR29" i="7"/>
  <c r="AP44" i="7"/>
  <c r="AQ44" i="7"/>
  <c r="AR44" i="7"/>
  <c r="AP50" i="7"/>
  <c r="AR50" i="7"/>
  <c r="AQ50" i="7"/>
  <c r="AQ110" i="7"/>
  <c r="AR110" i="7"/>
  <c r="AP83" i="7"/>
  <c r="AQ83" i="7"/>
  <c r="AR83" i="7"/>
  <c r="AP73" i="7"/>
  <c r="AR73" i="7"/>
  <c r="AQ73" i="7"/>
  <c r="AP141" i="7"/>
  <c r="AQ141" i="7"/>
  <c r="AR141" i="7"/>
  <c r="AP36" i="7"/>
  <c r="AQ36" i="7"/>
  <c r="AR36" i="7"/>
  <c r="AP43" i="7"/>
  <c r="AQ43" i="7"/>
  <c r="AR43" i="7"/>
  <c r="AR9" i="7"/>
  <c r="AQ9" i="7"/>
  <c r="AP9" i="7"/>
  <c r="AR109" i="7"/>
  <c r="AQ109" i="7"/>
  <c r="AP100" i="7"/>
  <c r="AQ100" i="7"/>
  <c r="AR100" i="7"/>
  <c r="AP70" i="7"/>
  <c r="AQ70" i="7"/>
  <c r="AR70" i="7"/>
  <c r="AR118" i="7"/>
  <c r="AQ118" i="7"/>
  <c r="AR140" i="7"/>
  <c r="AQ140" i="7"/>
  <c r="AQ132" i="7"/>
  <c r="AR132" i="7"/>
  <c r="AQ63" i="7"/>
  <c r="AR63" i="7"/>
  <c r="AR3" i="7"/>
  <c r="AP3" i="7"/>
  <c r="AQ3" i="7"/>
  <c r="AR117" i="7"/>
  <c r="AQ117" i="7"/>
  <c r="AR108" i="7"/>
  <c r="AQ108" i="7"/>
  <c r="AP61" i="7"/>
  <c r="AQ61" i="7"/>
  <c r="AR61" i="7"/>
  <c r="AQ62" i="7"/>
  <c r="AR62" i="7"/>
  <c r="AR126" i="7"/>
  <c r="AQ126" i="7"/>
  <c r="AP31" i="7"/>
  <c r="AQ31" i="7"/>
  <c r="AR31" i="7"/>
  <c r="AP39" i="7"/>
  <c r="AQ39" i="7"/>
  <c r="AR39" i="7"/>
  <c r="AQ51" i="7"/>
  <c r="AR51" i="7"/>
  <c r="AR8" i="7"/>
  <c r="AQ8" i="7"/>
  <c r="AP8" i="7"/>
  <c r="AR16" i="7"/>
  <c r="AQ16" i="7"/>
  <c r="AP16" i="7"/>
  <c r="AP20" i="7"/>
  <c r="AR20" i="7"/>
  <c r="AQ20" i="7"/>
  <c r="AP59" i="7"/>
  <c r="AR59" i="7"/>
  <c r="AQ59" i="7"/>
  <c r="AR124" i="7"/>
  <c r="AQ124" i="7"/>
  <c r="AP114" i="7"/>
  <c r="AR114" i="7"/>
  <c r="AQ114" i="7"/>
  <c r="AP86" i="7"/>
  <c r="AR86" i="7"/>
  <c r="AQ86" i="7"/>
  <c r="AP77" i="7"/>
  <c r="AR77" i="7"/>
  <c r="AQ77" i="7"/>
  <c r="AP87" i="7"/>
  <c r="AR87" i="7"/>
  <c r="AQ87" i="7"/>
  <c r="AP130" i="7"/>
  <c r="AQ130" i="7"/>
  <c r="AR130" i="7"/>
  <c r="AP144" i="7"/>
  <c r="AR144" i="7"/>
  <c r="AQ144" i="7"/>
  <c r="AP136" i="7"/>
  <c r="AR136" i="7"/>
  <c r="AQ136" i="7"/>
  <c r="AP122" i="7"/>
  <c r="AP109" i="7"/>
  <c r="AP118" i="7"/>
  <c r="AP140" i="7"/>
  <c r="AP132" i="7"/>
  <c r="AP127" i="7"/>
  <c r="AP139" i="7"/>
  <c r="AP129" i="7"/>
  <c r="AP110" i="7"/>
  <c r="AP64" i="7"/>
  <c r="AP120" i="7"/>
  <c r="AP117" i="7"/>
  <c r="AP108" i="7"/>
  <c r="AP119" i="7"/>
  <c r="AP62" i="7"/>
  <c r="AP126" i="7"/>
  <c r="AP51" i="7"/>
  <c r="AP124" i="7"/>
  <c r="AP96" i="7"/>
  <c r="AP111" i="7"/>
  <c r="AP150" i="7"/>
  <c r="AP63" i="7"/>
  <c r="AP147" i="7"/>
  <c r="AP107" i="7"/>
  <c r="AP38" i="7"/>
  <c r="AP52" i="7"/>
  <c r="AP143" i="7"/>
  <c r="AP135" i="7"/>
  <c r="A9" i="22"/>
  <c r="C8" i="22"/>
  <c r="P30" i="21"/>
  <c r="C11" i="20"/>
  <c r="A12" i="20"/>
  <c r="U59" i="13"/>
  <c r="U61" i="13"/>
  <c r="B59" i="13"/>
  <c r="B60" i="13" s="1"/>
  <c r="B61" i="13" s="1"/>
  <c r="B62" i="13" s="1"/>
  <c r="X59" i="13"/>
  <c r="X62" i="13"/>
  <c r="X60" i="13"/>
  <c r="V61" i="13"/>
  <c r="T62" i="13"/>
  <c r="U62" i="13"/>
  <c r="T59" i="13"/>
  <c r="B52" i="13"/>
  <c r="T60" i="13"/>
  <c r="U60" i="13"/>
  <c r="U53" i="13"/>
  <c r="V55" i="13"/>
  <c r="W55" i="13"/>
  <c r="Y55" i="13" s="1"/>
  <c r="V58" i="13"/>
  <c r="W57" i="13"/>
  <c r="V50" i="13"/>
  <c r="Y53" i="13"/>
  <c r="Y56" i="13"/>
  <c r="Y58" i="13"/>
  <c r="Y54" i="13"/>
  <c r="U58" i="13"/>
  <c r="V53" i="13"/>
  <c r="U56" i="13"/>
  <c r="V51" i="13"/>
  <c r="V56" i="13"/>
  <c r="U54" i="13"/>
  <c r="W51" i="13"/>
  <c r="V54" i="13"/>
  <c r="U57" i="13"/>
  <c r="Y52" i="13"/>
  <c r="U52" i="13"/>
  <c r="V52" i="13"/>
  <c r="U51" i="13"/>
  <c r="W50" i="13"/>
  <c r="U50" i="13"/>
  <c r="S41" i="13"/>
  <c r="T41" i="13"/>
  <c r="U41" i="13"/>
  <c r="U40" i="13"/>
  <c r="T40" i="13"/>
  <c r="S40" i="13"/>
  <c r="G20" i="10"/>
  <c r="G5" i="10"/>
  <c r="F25" i="10"/>
  <c r="G28" i="10"/>
  <c r="G50" i="10"/>
  <c r="F53" i="10"/>
  <c r="G76" i="10"/>
  <c r="F95" i="10"/>
  <c r="G97" i="10"/>
  <c r="AW88" i="7"/>
  <c r="AW28" i="7"/>
  <c r="G83" i="10"/>
  <c r="AY61" i="7"/>
  <c r="AO61" i="27" l="1"/>
  <c r="AZ61" i="27" s="1"/>
  <c r="AQ61" i="27"/>
  <c r="BA61" i="27" s="1"/>
  <c r="D72" i="10"/>
  <c r="AQ118" i="27"/>
  <c r="D90" i="10"/>
  <c r="AQ165" i="27"/>
  <c r="AQ104" i="27"/>
  <c r="D45" i="10"/>
  <c r="D43" i="10"/>
  <c r="D56" i="10"/>
  <c r="AQ26" i="27"/>
  <c r="AQ17" i="27"/>
  <c r="AQ27" i="27"/>
  <c r="AQ19" i="27"/>
  <c r="AQ20" i="27"/>
  <c r="AQ21" i="27"/>
  <c r="E72" i="10"/>
  <c r="AO118" i="27"/>
  <c r="E90" i="10"/>
  <c r="AO165" i="27"/>
  <c r="AO104" i="27"/>
  <c r="E45" i="10"/>
  <c r="E43" i="10"/>
  <c r="E56" i="10"/>
  <c r="AO26" i="27"/>
  <c r="AO17" i="27"/>
  <c r="AO19" i="27"/>
  <c r="AO27" i="27"/>
  <c r="AO21" i="27"/>
  <c r="AO20" i="27"/>
  <c r="D62" i="10"/>
  <c r="D89" i="10"/>
  <c r="D73" i="10"/>
  <c r="AQ113" i="27"/>
  <c r="D4" i="10"/>
  <c r="E62" i="10"/>
  <c r="E89" i="10"/>
  <c r="E73" i="10"/>
  <c r="AO113" i="27"/>
  <c r="E4" i="10"/>
  <c r="E30" i="10"/>
  <c r="D31" i="10"/>
  <c r="E22" i="10"/>
  <c r="AO3" i="27"/>
  <c r="AO2" i="27"/>
  <c r="AO9" i="27"/>
  <c r="AO8" i="27"/>
  <c r="D44" i="10"/>
  <c r="D86" i="10"/>
  <c r="AQ40" i="27"/>
  <c r="AQ39" i="27"/>
  <c r="AQ38" i="27"/>
  <c r="AQ44" i="27"/>
  <c r="AQ43" i="27"/>
  <c r="AQ42" i="27"/>
  <c r="AQ33" i="27"/>
  <c r="AQ41" i="27"/>
  <c r="AQ37" i="27"/>
  <c r="AQ34" i="27"/>
  <c r="D87" i="10"/>
  <c r="D36" i="10"/>
  <c r="D60" i="10"/>
  <c r="E14" i="10"/>
  <c r="E34" i="10"/>
  <c r="D30" i="10"/>
  <c r="E31" i="10"/>
  <c r="D22" i="10"/>
  <c r="AQ8" i="27"/>
  <c r="AQ3" i="27"/>
  <c r="AQ2" i="27"/>
  <c r="AQ9" i="27"/>
  <c r="E44" i="10"/>
  <c r="E86" i="10"/>
  <c r="AO40" i="27"/>
  <c r="AO39" i="27"/>
  <c r="AO38" i="27"/>
  <c r="AO42" i="27"/>
  <c r="AO41" i="27"/>
  <c r="AO34" i="27"/>
  <c r="AO37" i="27"/>
  <c r="AO44" i="27"/>
  <c r="AO43" i="27"/>
  <c r="AO33" i="27"/>
  <c r="E87" i="10"/>
  <c r="E36" i="10"/>
  <c r="E60" i="10"/>
  <c r="D14" i="10"/>
  <c r="D34" i="10"/>
  <c r="D23" i="10"/>
  <c r="AQ106" i="27"/>
  <c r="D74" i="10"/>
  <c r="AQ52" i="27"/>
  <c r="D49" i="10"/>
  <c r="E23" i="10"/>
  <c r="AO106" i="27"/>
  <c r="E74" i="10"/>
  <c r="AO52" i="27"/>
  <c r="E49" i="10"/>
  <c r="C17" i="27"/>
  <c r="BM152" i="7"/>
  <c r="BM151" i="7"/>
  <c r="BM79" i="7"/>
  <c r="BB144" i="7"/>
  <c r="BL144" i="7" s="1"/>
  <c r="BD144" i="7"/>
  <c r="BK144" i="7" s="1"/>
  <c r="BB34" i="7"/>
  <c r="BD34" i="7"/>
  <c r="BB58" i="7"/>
  <c r="BL58" i="7" s="1"/>
  <c r="BD58" i="7"/>
  <c r="BK58" i="7" s="1"/>
  <c r="BD62" i="7"/>
  <c r="BK62" i="7" s="1"/>
  <c r="BB62" i="7"/>
  <c r="BL62" i="7" s="1"/>
  <c r="BB32" i="7"/>
  <c r="BD32" i="7"/>
  <c r="BB15" i="7"/>
  <c r="BL15" i="7" s="1"/>
  <c r="BD15" i="7"/>
  <c r="BK15" i="7" s="1"/>
  <c r="BB80" i="7"/>
  <c r="BL80" i="7" s="1"/>
  <c r="BD80" i="7"/>
  <c r="BK80" i="7" s="1"/>
  <c r="BB48" i="7"/>
  <c r="BL48" i="7" s="1"/>
  <c r="BD48" i="7"/>
  <c r="BK48" i="7" s="1"/>
  <c r="BB82" i="7"/>
  <c r="BL82" i="7" s="1"/>
  <c r="BD82" i="7"/>
  <c r="BK82" i="7" s="1"/>
  <c r="BB73" i="7"/>
  <c r="BL73" i="7" s="1"/>
  <c r="BD73" i="7"/>
  <c r="BK73" i="7" s="1"/>
  <c r="BB57" i="7"/>
  <c r="BL57" i="7" s="1"/>
  <c r="BD57" i="7"/>
  <c r="BK57" i="7" s="1"/>
  <c r="BB72" i="7"/>
  <c r="BL72" i="7" s="1"/>
  <c r="BD72" i="7"/>
  <c r="BK72" i="7" s="1"/>
  <c r="BB47" i="7"/>
  <c r="BL47" i="7" s="1"/>
  <c r="BD47" i="7"/>
  <c r="BK47" i="7" s="1"/>
  <c r="BB71" i="7"/>
  <c r="BL71" i="7" s="1"/>
  <c r="BD71" i="7"/>
  <c r="BK71" i="7" s="1"/>
  <c r="BB2" i="7"/>
  <c r="BD2" i="7"/>
  <c r="BD12" i="7"/>
  <c r="BK12" i="7" s="1"/>
  <c r="BB12" i="7"/>
  <c r="BL12" i="7" s="1"/>
  <c r="BD85" i="7"/>
  <c r="BK85" i="7" s="1"/>
  <c r="BB85" i="7"/>
  <c r="BL85" i="7" s="1"/>
  <c r="BD43" i="7"/>
  <c r="BB43" i="7"/>
  <c r="BD142" i="7"/>
  <c r="BK142" i="7" s="1"/>
  <c r="BB142" i="7"/>
  <c r="BL142" i="7" s="1"/>
  <c r="BB104" i="7"/>
  <c r="BD104" i="7"/>
  <c r="BD77" i="7"/>
  <c r="BK77" i="7" s="1"/>
  <c r="BB77" i="7"/>
  <c r="BL77" i="7" s="1"/>
  <c r="BB39" i="7"/>
  <c r="BD39" i="7"/>
  <c r="BD117" i="7"/>
  <c r="BK117" i="7" s="1"/>
  <c r="BB117" i="7"/>
  <c r="BL117" i="7" s="1"/>
  <c r="BD21" i="7"/>
  <c r="BB21" i="7"/>
  <c r="BB64" i="7"/>
  <c r="BL64" i="7" s="1"/>
  <c r="BD64" i="7"/>
  <c r="BK64" i="7" s="1"/>
  <c r="BD139" i="7"/>
  <c r="BK139" i="7" s="1"/>
  <c r="BB139" i="7"/>
  <c r="BL139" i="7" s="1"/>
  <c r="BB130" i="7"/>
  <c r="BL130" i="7" s="1"/>
  <c r="BD130" i="7"/>
  <c r="BK130" i="7" s="1"/>
  <c r="BD124" i="7"/>
  <c r="BB124" i="7"/>
  <c r="BD140" i="7"/>
  <c r="BK140" i="7" s="1"/>
  <c r="BB140" i="7"/>
  <c r="BL140" i="7" s="1"/>
  <c r="BB50" i="7"/>
  <c r="BL50" i="7" s="1"/>
  <c r="BD50" i="7"/>
  <c r="BK50" i="7" s="1"/>
  <c r="BD46" i="7"/>
  <c r="BK46" i="7" s="1"/>
  <c r="BB46" i="7"/>
  <c r="BL46" i="7" s="1"/>
  <c r="BB119" i="7"/>
  <c r="BL119" i="7" s="1"/>
  <c r="BD119" i="7"/>
  <c r="BK119" i="7" s="1"/>
  <c r="BB16" i="7"/>
  <c r="BL16" i="7" s="1"/>
  <c r="BD16" i="7"/>
  <c r="BK16" i="7" s="1"/>
  <c r="BD61" i="7"/>
  <c r="BK61" i="7" s="1"/>
  <c r="BB61" i="7"/>
  <c r="BL61" i="7" s="1"/>
  <c r="BD36" i="7"/>
  <c r="BK36" i="7" s="1"/>
  <c r="BB36" i="7"/>
  <c r="BL36" i="7" s="1"/>
  <c r="BB65" i="7"/>
  <c r="BL65" i="7" s="1"/>
  <c r="BD65" i="7"/>
  <c r="BK65" i="7" s="1"/>
  <c r="BD75" i="7"/>
  <c r="BK75" i="7" s="1"/>
  <c r="BB75" i="7"/>
  <c r="BL75" i="7" s="1"/>
  <c r="BB18" i="7"/>
  <c r="BL18" i="7" s="1"/>
  <c r="BD18" i="7"/>
  <c r="BK18" i="7" s="1"/>
  <c r="BB10" i="7"/>
  <c r="BL10" i="7" s="1"/>
  <c r="BD10" i="7"/>
  <c r="BK10" i="7" s="1"/>
  <c r="BB145" i="7"/>
  <c r="BL145" i="7" s="1"/>
  <c r="BD145" i="7"/>
  <c r="BK145" i="7" s="1"/>
  <c r="BB97" i="7"/>
  <c r="BL97" i="7" s="1"/>
  <c r="BD97" i="7"/>
  <c r="BK97" i="7" s="1"/>
  <c r="BB90" i="7"/>
  <c r="BL90" i="7" s="1"/>
  <c r="BD90" i="7"/>
  <c r="BK90" i="7" s="1"/>
  <c r="BB128" i="7"/>
  <c r="BL128" i="7" s="1"/>
  <c r="BD128" i="7"/>
  <c r="BK128" i="7" s="1"/>
  <c r="BD93" i="7"/>
  <c r="BK93" i="7" s="1"/>
  <c r="BB93" i="7"/>
  <c r="BL93" i="7" s="1"/>
  <c r="BD150" i="7"/>
  <c r="BK150" i="7" s="1"/>
  <c r="BB150" i="7"/>
  <c r="BL150" i="7" s="1"/>
  <c r="BD13" i="7"/>
  <c r="BK13" i="7" s="1"/>
  <c r="BB13" i="7"/>
  <c r="BL13" i="7" s="1"/>
  <c r="BB138" i="7"/>
  <c r="BL138" i="7" s="1"/>
  <c r="BD138" i="7"/>
  <c r="BK138" i="7" s="1"/>
  <c r="BD60" i="7"/>
  <c r="BK60" i="7" s="1"/>
  <c r="BB60" i="7"/>
  <c r="BL60" i="7" s="1"/>
  <c r="BD116" i="7"/>
  <c r="BK116" i="7" s="1"/>
  <c r="BB116" i="7"/>
  <c r="BL116" i="7" s="1"/>
  <c r="BD14" i="7"/>
  <c r="BK14" i="7" s="1"/>
  <c r="BB14" i="7"/>
  <c r="BL14" i="7" s="1"/>
  <c r="BD102" i="7"/>
  <c r="BK102" i="7" s="1"/>
  <c r="BB102" i="7"/>
  <c r="BL102" i="7" s="1"/>
  <c r="BB74" i="7"/>
  <c r="BL74" i="7" s="1"/>
  <c r="BD74" i="7"/>
  <c r="BK74" i="7" s="1"/>
  <c r="BD4" i="7"/>
  <c r="BK4" i="7" s="1"/>
  <c r="BB4" i="7"/>
  <c r="BL4" i="7" s="1"/>
  <c r="BD45" i="7"/>
  <c r="BK45" i="7" s="1"/>
  <c r="BB45" i="7"/>
  <c r="BL45" i="7" s="1"/>
  <c r="BD19" i="7"/>
  <c r="BB19" i="7"/>
  <c r="BB33" i="7"/>
  <c r="BD33" i="7"/>
  <c r="BD100" i="7"/>
  <c r="BK100" i="7" s="1"/>
  <c r="BB100" i="7"/>
  <c r="BL100" i="7" s="1"/>
  <c r="BD28" i="7"/>
  <c r="BK28" i="7" s="1"/>
  <c r="BB28" i="7"/>
  <c r="BL28" i="7" s="1"/>
  <c r="BD86" i="7"/>
  <c r="BK86" i="7" s="1"/>
  <c r="BB86" i="7"/>
  <c r="BL86" i="7" s="1"/>
  <c r="BD125" i="7"/>
  <c r="BK125" i="7" s="1"/>
  <c r="BB125" i="7"/>
  <c r="BL125" i="7" s="1"/>
  <c r="BD133" i="7"/>
  <c r="BK133" i="7" s="1"/>
  <c r="BB133" i="7"/>
  <c r="BL133" i="7" s="1"/>
  <c r="BD123" i="7"/>
  <c r="BK123" i="7" s="1"/>
  <c r="BB123" i="7"/>
  <c r="BL123" i="7" s="1"/>
  <c r="BB137" i="7"/>
  <c r="BL137" i="7" s="1"/>
  <c r="BD137" i="7"/>
  <c r="BK137" i="7" s="1"/>
  <c r="BD126" i="7"/>
  <c r="BK126" i="7" s="1"/>
  <c r="BB126" i="7"/>
  <c r="BL126" i="7" s="1"/>
  <c r="BB88" i="7"/>
  <c r="BL88" i="7" s="1"/>
  <c r="BD88" i="7"/>
  <c r="BK88" i="7" s="1"/>
  <c r="BD30" i="7"/>
  <c r="BB30" i="7"/>
  <c r="BD22" i="7"/>
  <c r="BK22" i="7" s="1"/>
  <c r="BB22" i="7"/>
  <c r="BL22" i="7" s="1"/>
  <c r="BD91" i="7"/>
  <c r="BK91" i="7" s="1"/>
  <c r="BB91" i="7"/>
  <c r="BL91" i="7" s="1"/>
  <c r="BD59" i="7"/>
  <c r="BK59" i="7" s="1"/>
  <c r="BB59" i="7"/>
  <c r="BL59" i="7" s="1"/>
  <c r="BB31" i="7"/>
  <c r="BD31" i="7"/>
  <c r="BD3" i="7"/>
  <c r="BB3" i="7"/>
  <c r="BD44" i="7"/>
  <c r="BB44" i="7"/>
  <c r="BB26" i="7"/>
  <c r="BD26" i="7"/>
  <c r="BD76" i="7"/>
  <c r="BK76" i="7" s="1"/>
  <c r="BB76" i="7"/>
  <c r="BL76" i="7" s="1"/>
  <c r="BD5" i="7"/>
  <c r="BK5" i="7" s="1"/>
  <c r="BB5" i="7"/>
  <c r="BL5" i="7" s="1"/>
  <c r="BB136" i="7"/>
  <c r="BL136" i="7" s="1"/>
  <c r="BD136" i="7"/>
  <c r="BK136" i="7" s="1"/>
  <c r="BB63" i="7"/>
  <c r="BL63" i="7" s="1"/>
  <c r="BD63" i="7"/>
  <c r="BK63" i="7" s="1"/>
  <c r="BD70" i="7"/>
  <c r="BK70" i="7" s="1"/>
  <c r="BB70" i="7"/>
  <c r="BL70" i="7" s="1"/>
  <c r="BD148" i="7"/>
  <c r="BK148" i="7" s="1"/>
  <c r="BB148" i="7"/>
  <c r="BL148" i="7" s="1"/>
  <c r="BD84" i="7"/>
  <c r="BK84" i="7" s="1"/>
  <c r="BB84" i="7"/>
  <c r="BL84" i="7" s="1"/>
  <c r="BD52" i="7"/>
  <c r="BB52" i="7"/>
  <c r="BB89" i="7"/>
  <c r="BL89" i="7" s="1"/>
  <c r="BD89" i="7"/>
  <c r="BK89" i="7" s="1"/>
  <c r="BD54" i="7"/>
  <c r="BK54" i="7" s="1"/>
  <c r="BB54" i="7"/>
  <c r="BL54" i="7" s="1"/>
  <c r="BB66" i="7"/>
  <c r="BL66" i="7" s="1"/>
  <c r="BD66" i="7"/>
  <c r="BK66" i="7" s="1"/>
  <c r="BB106" i="7"/>
  <c r="BD106" i="7"/>
  <c r="BD134" i="7"/>
  <c r="BK134" i="7" s="1"/>
  <c r="BB134" i="7"/>
  <c r="BL134" i="7" s="1"/>
  <c r="BB95" i="7"/>
  <c r="BL95" i="7" s="1"/>
  <c r="BD95" i="7"/>
  <c r="BK95" i="7" s="1"/>
  <c r="BB17" i="7"/>
  <c r="BD17" i="7"/>
  <c r="BB40" i="7"/>
  <c r="BD40" i="7"/>
  <c r="BB49" i="7"/>
  <c r="BL49" i="7" s="1"/>
  <c r="BD49" i="7"/>
  <c r="BK49" i="7" s="1"/>
  <c r="BB129" i="7"/>
  <c r="BL129" i="7" s="1"/>
  <c r="BD129" i="7"/>
  <c r="BK129" i="7" s="1"/>
  <c r="BD68" i="7"/>
  <c r="BK68" i="7" s="1"/>
  <c r="BB68" i="7"/>
  <c r="BL68" i="7" s="1"/>
  <c r="BB7" i="7"/>
  <c r="BL7" i="7" s="1"/>
  <c r="BD7" i="7"/>
  <c r="BK7" i="7" s="1"/>
  <c r="BD101" i="7"/>
  <c r="BK101" i="7" s="1"/>
  <c r="BB101" i="7"/>
  <c r="BL101" i="7" s="1"/>
  <c r="BB111" i="7"/>
  <c r="BL111" i="7" s="1"/>
  <c r="BD111" i="7"/>
  <c r="BK111" i="7" s="1"/>
  <c r="BD37" i="7"/>
  <c r="BB37" i="7"/>
  <c r="BD67" i="7"/>
  <c r="BK67" i="7" s="1"/>
  <c r="BB67" i="7"/>
  <c r="BL67" i="7" s="1"/>
  <c r="BD69" i="7"/>
  <c r="BK69" i="7" s="1"/>
  <c r="BB69" i="7"/>
  <c r="BL69" i="7" s="1"/>
  <c r="BD92" i="7"/>
  <c r="BK92" i="7" s="1"/>
  <c r="BB92" i="7"/>
  <c r="BL92" i="7" s="1"/>
  <c r="BB135" i="7"/>
  <c r="BL135" i="7" s="1"/>
  <c r="BD135" i="7"/>
  <c r="BK135" i="7" s="1"/>
  <c r="BD99" i="7"/>
  <c r="BK99" i="7" s="1"/>
  <c r="BB99" i="7"/>
  <c r="BL99" i="7" s="1"/>
  <c r="BB96" i="7"/>
  <c r="BL96" i="7" s="1"/>
  <c r="BD96" i="7"/>
  <c r="BK96" i="7" s="1"/>
  <c r="BD118" i="7"/>
  <c r="BB118" i="7"/>
  <c r="BD109" i="7"/>
  <c r="BK109" i="7" s="1"/>
  <c r="BB109" i="7"/>
  <c r="BL109" i="7" s="1"/>
  <c r="BD83" i="7"/>
  <c r="BK83" i="7" s="1"/>
  <c r="BB83" i="7"/>
  <c r="BL83" i="7" s="1"/>
  <c r="BB127" i="7"/>
  <c r="BL127" i="7" s="1"/>
  <c r="BD127" i="7"/>
  <c r="BK127" i="7" s="1"/>
  <c r="BB42" i="7"/>
  <c r="BD42" i="7"/>
  <c r="BD27" i="7"/>
  <c r="BB27" i="7"/>
  <c r="BD78" i="7"/>
  <c r="BK78" i="7" s="1"/>
  <c r="BB78" i="7"/>
  <c r="BL78" i="7" s="1"/>
  <c r="BB41" i="7"/>
  <c r="BD41" i="7"/>
  <c r="BD131" i="7"/>
  <c r="BK131" i="7" s="1"/>
  <c r="BB131" i="7"/>
  <c r="BL131" i="7" s="1"/>
  <c r="BB81" i="7"/>
  <c r="BL81" i="7" s="1"/>
  <c r="BD81" i="7"/>
  <c r="BK81" i="7" s="1"/>
  <c r="BB23" i="7"/>
  <c r="BL23" i="7" s="1"/>
  <c r="BD23" i="7"/>
  <c r="BK23" i="7" s="1"/>
  <c r="BB120" i="7"/>
  <c r="BL120" i="7" s="1"/>
  <c r="BD120" i="7"/>
  <c r="BK120" i="7" s="1"/>
  <c r="BB87" i="7"/>
  <c r="BL87" i="7" s="1"/>
  <c r="BD87" i="7"/>
  <c r="BK87" i="7" s="1"/>
  <c r="BB8" i="7"/>
  <c r="BD8" i="7"/>
  <c r="BD141" i="7"/>
  <c r="BK141" i="7" s="1"/>
  <c r="BB141" i="7"/>
  <c r="BL141" i="7" s="1"/>
  <c r="BB114" i="7"/>
  <c r="BL114" i="7" s="1"/>
  <c r="BD114" i="7"/>
  <c r="BK114" i="7" s="1"/>
  <c r="BD20" i="7"/>
  <c r="BB20" i="7"/>
  <c r="BD51" i="7"/>
  <c r="BK51" i="7" s="1"/>
  <c r="BB51" i="7"/>
  <c r="BL51" i="7" s="1"/>
  <c r="BD108" i="7"/>
  <c r="BK108" i="7" s="1"/>
  <c r="BB108" i="7"/>
  <c r="BL108" i="7" s="1"/>
  <c r="BD132" i="7"/>
  <c r="BK132" i="7" s="1"/>
  <c r="BB132" i="7"/>
  <c r="BL132" i="7" s="1"/>
  <c r="BB9" i="7"/>
  <c r="BD9" i="7"/>
  <c r="BD110" i="7"/>
  <c r="BK110" i="7" s="1"/>
  <c r="BB110" i="7"/>
  <c r="BL110" i="7" s="1"/>
  <c r="BD29" i="7"/>
  <c r="BB29" i="7"/>
  <c r="BD94" i="7"/>
  <c r="BK94" i="7" s="1"/>
  <c r="BB94" i="7"/>
  <c r="BL94" i="7" s="1"/>
  <c r="BD38" i="7"/>
  <c r="BB38" i="7"/>
  <c r="BD115" i="7"/>
  <c r="BK115" i="7" s="1"/>
  <c r="BB115" i="7"/>
  <c r="BL115" i="7" s="1"/>
  <c r="BD6" i="7"/>
  <c r="BK6" i="7" s="1"/>
  <c r="BB6" i="7"/>
  <c r="BL6" i="7" s="1"/>
  <c r="BD147" i="7"/>
  <c r="BK147" i="7" s="1"/>
  <c r="BB147" i="7"/>
  <c r="BL147" i="7" s="1"/>
  <c r="BB55" i="7"/>
  <c r="BL55" i="7" s="1"/>
  <c r="BD55" i="7"/>
  <c r="BK55" i="7" s="1"/>
  <c r="BB122" i="7"/>
  <c r="BL122" i="7" s="1"/>
  <c r="BD122" i="7"/>
  <c r="BK122" i="7" s="1"/>
  <c r="BB146" i="7"/>
  <c r="BL146" i="7" s="1"/>
  <c r="BD146" i="7"/>
  <c r="BK146" i="7" s="1"/>
  <c r="BB98" i="7"/>
  <c r="BL98" i="7" s="1"/>
  <c r="BD98" i="7"/>
  <c r="BK98" i="7" s="1"/>
  <c r="BD35" i="7"/>
  <c r="BK35" i="7" s="1"/>
  <c r="BB35" i="7"/>
  <c r="BL35" i="7" s="1"/>
  <c r="BB56" i="7"/>
  <c r="BL56" i="7" s="1"/>
  <c r="BD56" i="7"/>
  <c r="BK56" i="7" s="1"/>
  <c r="BD149" i="7"/>
  <c r="BK149" i="7" s="1"/>
  <c r="BB149" i="7"/>
  <c r="BL149" i="7" s="1"/>
  <c r="BB143" i="7"/>
  <c r="BL143" i="7" s="1"/>
  <c r="BD143" i="7"/>
  <c r="BK143" i="7" s="1"/>
  <c r="I10" i="14"/>
  <c r="H10" i="14"/>
  <c r="J10" i="14" s="1"/>
  <c r="E10" i="14"/>
  <c r="G10" i="14" s="1"/>
  <c r="F10" i="14"/>
  <c r="Q8" i="14"/>
  <c r="P8" i="14"/>
  <c r="O8" i="14"/>
  <c r="R8" i="14" s="1"/>
  <c r="T8" i="14"/>
  <c r="S8" i="14"/>
  <c r="V8" i="14" s="1"/>
  <c r="U8" i="14"/>
  <c r="Q9" i="14"/>
  <c r="P9" i="14"/>
  <c r="O9" i="14"/>
  <c r="R9" i="14" s="1"/>
  <c r="T9" i="14"/>
  <c r="S9" i="14"/>
  <c r="V9" i="14" s="1"/>
  <c r="U9" i="14"/>
  <c r="I7" i="14"/>
  <c r="H7" i="14"/>
  <c r="J7" i="14" s="1"/>
  <c r="Y9" i="14"/>
  <c r="X9" i="14"/>
  <c r="W9" i="14"/>
  <c r="Z9" i="14" s="1"/>
  <c r="I5" i="14"/>
  <c r="H5" i="14"/>
  <c r="J5" i="14" s="1"/>
  <c r="F6" i="14"/>
  <c r="E6" i="14"/>
  <c r="G6" i="14" s="1"/>
  <c r="E4" i="14"/>
  <c r="G4" i="14" s="1"/>
  <c r="F4" i="14"/>
  <c r="H6" i="14"/>
  <c r="J6" i="14" s="1"/>
  <c r="I6" i="14"/>
  <c r="I4" i="14"/>
  <c r="H4" i="14"/>
  <c r="J4" i="14" s="1"/>
  <c r="E7" i="14"/>
  <c r="G7" i="14" s="1"/>
  <c r="F7" i="14"/>
  <c r="AA9" i="14"/>
  <c r="AD9" i="14" s="1"/>
  <c r="AC9" i="14"/>
  <c r="AB9" i="14"/>
  <c r="F5" i="14"/>
  <c r="E5" i="14"/>
  <c r="G5" i="14" s="1"/>
  <c r="AY97" i="7"/>
  <c r="AZ97" i="7" s="1"/>
  <c r="AY98" i="7"/>
  <c r="AZ98" i="7" s="1"/>
  <c r="AY155" i="7"/>
  <c r="AY197" i="7"/>
  <c r="AY145" i="7"/>
  <c r="AZ145" i="7" s="1"/>
  <c r="AY143" i="7"/>
  <c r="AZ143" i="7" s="1"/>
  <c r="AY144" i="7"/>
  <c r="AZ144" i="7" s="1"/>
  <c r="AY146" i="7"/>
  <c r="AZ146" i="7" s="1"/>
  <c r="AY154" i="7"/>
  <c r="AY92" i="7"/>
  <c r="AZ92" i="7" s="1"/>
  <c r="AY93" i="7"/>
  <c r="AZ93" i="7" s="1"/>
  <c r="AW125" i="7"/>
  <c r="AX125" i="7" s="1"/>
  <c r="AW126" i="7"/>
  <c r="AX126" i="7" s="1"/>
  <c r="AW66" i="7"/>
  <c r="AX66" i="7" s="1"/>
  <c r="AW67" i="7"/>
  <c r="AX67" i="7" s="1"/>
  <c r="AW94" i="7"/>
  <c r="AX94" i="7" s="1"/>
  <c r="AW135" i="7"/>
  <c r="AX135" i="7" s="1"/>
  <c r="AW136" i="7"/>
  <c r="AX136" i="7" s="1"/>
  <c r="AW60" i="7"/>
  <c r="AX60" i="7" s="1"/>
  <c r="AW63" i="7"/>
  <c r="AX63" i="7" s="1"/>
  <c r="AW138" i="7"/>
  <c r="AX138" i="7" s="1"/>
  <c r="AW65" i="7"/>
  <c r="AX65" i="7" s="1"/>
  <c r="AW62" i="7"/>
  <c r="AX62" i="7" s="1"/>
  <c r="AW175" i="7"/>
  <c r="AW137" i="7"/>
  <c r="AX137" i="7" s="1"/>
  <c r="AW64" i="7"/>
  <c r="AX64" i="7" s="1"/>
  <c r="O5" i="21"/>
  <c r="U7" i="21"/>
  <c r="T7" i="21"/>
  <c r="S7" i="21"/>
  <c r="Q5" i="21"/>
  <c r="P5" i="21"/>
  <c r="P7" i="21"/>
  <c r="O7" i="21"/>
  <c r="Q7" i="21"/>
  <c r="AY83" i="7"/>
  <c r="AZ83" i="7" s="1"/>
  <c r="AY99" i="7"/>
  <c r="AZ99" i="7" s="1"/>
  <c r="AY84" i="7"/>
  <c r="AZ84" i="7" s="1"/>
  <c r="AY85" i="7"/>
  <c r="AZ85" i="7" s="1"/>
  <c r="AY82" i="7"/>
  <c r="AZ82" i="7" s="1"/>
  <c r="AY169" i="7"/>
  <c r="AZ169" i="7" s="1"/>
  <c r="AY168" i="7"/>
  <c r="AZ168" i="7" s="1"/>
  <c r="AW120" i="7"/>
  <c r="AX120" i="7" s="1"/>
  <c r="AW121" i="7"/>
  <c r="AX121" i="7" s="1"/>
  <c r="BJ121" i="7" s="1"/>
  <c r="AW189" i="7"/>
  <c r="AX189" i="7" s="1"/>
  <c r="AW10" i="7"/>
  <c r="AX10" i="7" s="1"/>
  <c r="AW8" i="7"/>
  <c r="AX8" i="7" s="1"/>
  <c r="AW191" i="7"/>
  <c r="AX191" i="7" s="1"/>
  <c r="AW6" i="7"/>
  <c r="AX6" i="7" s="1"/>
  <c r="AW3" i="7"/>
  <c r="AX3" i="7" s="1"/>
  <c r="AW7" i="7"/>
  <c r="AX7" i="7" s="1"/>
  <c r="AW11" i="7"/>
  <c r="AX11" i="7" s="1"/>
  <c r="BJ11" i="7" s="1"/>
  <c r="AW12" i="7"/>
  <c r="AX12" i="7" s="1"/>
  <c r="AW13" i="7"/>
  <c r="AX13" i="7" s="1"/>
  <c r="AW9" i="7"/>
  <c r="AX9" i="7" s="1"/>
  <c r="AW190" i="7"/>
  <c r="AX190" i="7" s="1"/>
  <c r="AW5" i="7"/>
  <c r="AX5" i="7" s="1"/>
  <c r="AW2" i="7"/>
  <c r="AX2" i="7" s="1"/>
  <c r="AW14" i="7"/>
  <c r="AX14" i="7" s="1"/>
  <c r="AW188" i="7"/>
  <c r="AX188" i="7" s="1"/>
  <c r="AW4" i="7"/>
  <c r="AX4" i="7" s="1"/>
  <c r="AW34" i="7"/>
  <c r="AX34" i="7" s="1"/>
  <c r="AW42" i="7"/>
  <c r="AX42" i="7" s="1"/>
  <c r="AW29" i="7"/>
  <c r="AW35" i="7"/>
  <c r="AX35" i="7" s="1"/>
  <c r="AW43" i="7"/>
  <c r="AX43" i="7" s="1"/>
  <c r="AW38" i="7"/>
  <c r="AX38" i="7" s="1"/>
  <c r="AW36" i="7"/>
  <c r="AX36" i="7" s="1"/>
  <c r="AW44" i="7"/>
  <c r="AX44" i="7" s="1"/>
  <c r="AW31" i="7"/>
  <c r="AW33" i="7"/>
  <c r="AX33" i="7" s="1"/>
  <c r="AW41" i="7"/>
  <c r="AX41" i="7" s="1"/>
  <c r="AW37" i="7"/>
  <c r="AX37" i="7" s="1"/>
  <c r="AW30" i="7"/>
  <c r="AW39" i="7"/>
  <c r="AX39" i="7" s="1"/>
  <c r="AW32" i="7"/>
  <c r="AW40" i="7"/>
  <c r="AX40" i="7" s="1"/>
  <c r="T4" i="21"/>
  <c r="U4" i="21"/>
  <c r="AW109" i="7"/>
  <c r="AX109" i="7" s="1"/>
  <c r="AW149" i="7"/>
  <c r="AX149" i="7" s="1"/>
  <c r="AW110" i="7"/>
  <c r="AX110" i="7" s="1"/>
  <c r="AW150" i="7"/>
  <c r="AX150" i="7" s="1"/>
  <c r="AW111" i="7"/>
  <c r="AX111" i="7" s="1"/>
  <c r="AW147" i="7"/>
  <c r="AX147" i="7" s="1"/>
  <c r="AW90" i="7"/>
  <c r="AX90" i="7" s="1"/>
  <c r="AW91" i="7"/>
  <c r="AX91" i="7" s="1"/>
  <c r="AW112" i="7"/>
  <c r="AW148" i="7"/>
  <c r="AX148" i="7" s="1"/>
  <c r="AW89" i="7"/>
  <c r="AX89" i="7" s="1"/>
  <c r="AW113" i="7"/>
  <c r="AX113" i="7" s="1"/>
  <c r="W8" i="14" s="1"/>
  <c r="Z8" i="14" s="1"/>
  <c r="AY19" i="7"/>
  <c r="AZ19" i="7" s="1"/>
  <c r="AY27" i="7"/>
  <c r="AZ27" i="7" s="1"/>
  <c r="AY195" i="7"/>
  <c r="AY20" i="7"/>
  <c r="AZ20" i="7" s="1"/>
  <c r="AY196" i="7"/>
  <c r="AY21" i="7"/>
  <c r="AZ21" i="7" s="1"/>
  <c r="AY17" i="7"/>
  <c r="AZ17" i="7" s="1"/>
  <c r="AY25" i="7"/>
  <c r="AY193" i="7"/>
  <c r="AY26" i="7"/>
  <c r="AZ26" i="7" s="1"/>
  <c r="AY16" i="7"/>
  <c r="AZ16" i="7" s="1"/>
  <c r="AY18" i="7"/>
  <c r="AZ18" i="7" s="1"/>
  <c r="AY15" i="7"/>
  <c r="AZ15" i="7" s="1"/>
  <c r="AY192" i="7"/>
  <c r="AY22" i="7"/>
  <c r="AZ22" i="7" s="1"/>
  <c r="AY24" i="7"/>
  <c r="AY194" i="7"/>
  <c r="AY23" i="7"/>
  <c r="AZ23" i="7" s="1"/>
  <c r="AY158" i="7"/>
  <c r="AZ158" i="7" s="1"/>
  <c r="AY159" i="7"/>
  <c r="AZ159" i="7" s="1"/>
  <c r="AW101" i="7"/>
  <c r="AX101" i="7" s="1"/>
  <c r="AW100" i="7"/>
  <c r="AX100" i="7" s="1"/>
  <c r="AY107" i="7"/>
  <c r="AZ107" i="7" s="1"/>
  <c r="AY123" i="7"/>
  <c r="AZ123" i="7" s="1"/>
  <c r="AY139" i="7"/>
  <c r="AZ139" i="7" s="1"/>
  <c r="AY163" i="7"/>
  <c r="AZ163" i="7" s="1"/>
  <c r="AY108" i="7"/>
  <c r="AZ108" i="7" s="1"/>
  <c r="AY124" i="7"/>
  <c r="AY140" i="7"/>
  <c r="AZ140" i="7" s="1"/>
  <c r="AY164" i="7"/>
  <c r="AZ164" i="7" s="1"/>
  <c r="AY141" i="7"/>
  <c r="AZ141" i="7" s="1"/>
  <c r="AY106" i="7"/>
  <c r="AZ106" i="7" s="1"/>
  <c r="AY122" i="7"/>
  <c r="AZ122" i="7" s="1"/>
  <c r="AY130" i="7"/>
  <c r="AZ130" i="7" s="1"/>
  <c r="AY142" i="7"/>
  <c r="AZ142" i="7" s="1"/>
  <c r="AY170" i="7"/>
  <c r="AY162" i="7"/>
  <c r="AZ162" i="7" s="1"/>
  <c r="AY95" i="7"/>
  <c r="AZ95" i="7" s="1"/>
  <c r="AY96" i="7"/>
  <c r="AZ96" i="7" s="1"/>
  <c r="O4" i="21"/>
  <c r="P4" i="21"/>
  <c r="Q4" i="21"/>
  <c r="AW181" i="7"/>
  <c r="AX181" i="7" s="1"/>
  <c r="AW182" i="7"/>
  <c r="AX182" i="7" s="1"/>
  <c r="AW179" i="7"/>
  <c r="AX179" i="7" s="1"/>
  <c r="AW187" i="7"/>
  <c r="AX187" i="7" s="1"/>
  <c r="AW178" i="7"/>
  <c r="AX178" i="7" s="1"/>
  <c r="AW180" i="7"/>
  <c r="AX180" i="7" s="1"/>
  <c r="AW185" i="7"/>
  <c r="AX185" i="7" s="1"/>
  <c r="AW183" i="7"/>
  <c r="AX183" i="7" s="1"/>
  <c r="AW177" i="7"/>
  <c r="AX177" i="7" s="1"/>
  <c r="AW184" i="7"/>
  <c r="AX184" i="7" s="1"/>
  <c r="AW186" i="7"/>
  <c r="AX186" i="7" s="1"/>
  <c r="AW176" i="7"/>
  <c r="AX176" i="7" s="1"/>
  <c r="AW171" i="7"/>
  <c r="AW172" i="7"/>
  <c r="AW74" i="7"/>
  <c r="AX74" i="7" s="1"/>
  <c r="AW69" i="7"/>
  <c r="AX69" i="7" s="1"/>
  <c r="AW70" i="7"/>
  <c r="AX70" i="7" s="1"/>
  <c r="AW71" i="7"/>
  <c r="AX71" i="7" s="1"/>
  <c r="AW68" i="7"/>
  <c r="AX68" i="7" s="1"/>
  <c r="AW73" i="7"/>
  <c r="AX73" i="7" s="1"/>
  <c r="AW81" i="7"/>
  <c r="AX81" i="7" s="1"/>
  <c r="AW72" i="7"/>
  <c r="AX72" i="7" s="1"/>
  <c r="AW58" i="7"/>
  <c r="AX58" i="7" s="1"/>
  <c r="AW59" i="7"/>
  <c r="AX59" i="7" s="1"/>
  <c r="AW57" i="7"/>
  <c r="AX57" i="7" s="1"/>
  <c r="S6" i="21"/>
  <c r="AW165" i="7"/>
  <c r="AX165" i="7" s="1"/>
  <c r="AW103" i="7"/>
  <c r="AW127" i="7"/>
  <c r="AX127" i="7" s="1"/>
  <c r="AW104" i="7"/>
  <c r="AX104" i="7" s="1"/>
  <c r="AW105" i="7"/>
  <c r="AW128" i="7"/>
  <c r="AX128" i="7" s="1"/>
  <c r="AW129" i="7"/>
  <c r="AX129" i="7" s="1"/>
  <c r="S5" i="21"/>
  <c r="U5" i="21"/>
  <c r="T5" i="21"/>
  <c r="U6" i="21"/>
  <c r="T6" i="21"/>
  <c r="AY166" i="7"/>
  <c r="AZ166" i="7" s="1"/>
  <c r="AY167" i="7"/>
  <c r="AZ167" i="7" s="1"/>
  <c r="AY115" i="7"/>
  <c r="AZ115" i="7" s="1"/>
  <c r="AY116" i="7"/>
  <c r="AZ116" i="7" s="1"/>
  <c r="AY117" i="7"/>
  <c r="AZ117" i="7" s="1"/>
  <c r="AY161" i="7"/>
  <c r="AZ161" i="7" s="1"/>
  <c r="AY118" i="7"/>
  <c r="AZ118" i="7" s="1"/>
  <c r="AY119" i="7"/>
  <c r="AZ119" i="7" s="1"/>
  <c r="AY160" i="7"/>
  <c r="AZ160" i="7" s="1"/>
  <c r="AY114" i="7"/>
  <c r="AZ114" i="7" s="1"/>
  <c r="AY156" i="7"/>
  <c r="AZ156" i="7" s="1"/>
  <c r="AY157" i="7"/>
  <c r="AZ157" i="7" s="1"/>
  <c r="Q6" i="21"/>
  <c r="P6" i="21"/>
  <c r="O6" i="21"/>
  <c r="AW173" i="7"/>
  <c r="AW174" i="7"/>
  <c r="AW50" i="7"/>
  <c r="AX50" i="7" s="1"/>
  <c r="AW45" i="7"/>
  <c r="AX45" i="7" s="1"/>
  <c r="AW47" i="7"/>
  <c r="AX47" i="7" s="1"/>
  <c r="AW52" i="7"/>
  <c r="AX52" i="7" s="1"/>
  <c r="AW46" i="7"/>
  <c r="AX46" i="7" s="1"/>
  <c r="AW49" i="7"/>
  <c r="AX49" i="7" s="1"/>
  <c r="AW51" i="7"/>
  <c r="AX51" i="7" s="1"/>
  <c r="AW48" i="7"/>
  <c r="AX48" i="7" s="1"/>
  <c r="AY53" i="7"/>
  <c r="AY54" i="7"/>
  <c r="AZ54" i="7" s="1"/>
  <c r="AY56" i="7"/>
  <c r="AZ56" i="7" s="1"/>
  <c r="AY55" i="7"/>
  <c r="AZ55" i="7" s="1"/>
  <c r="S4" i="21"/>
  <c r="AT20" i="7"/>
  <c r="AV20" i="7"/>
  <c r="AT108" i="7"/>
  <c r="BH108" i="7" s="1"/>
  <c r="AV108" i="7"/>
  <c r="BG108" i="7" s="1"/>
  <c r="AV110" i="7"/>
  <c r="BG110" i="7" s="1"/>
  <c r="AT110" i="7"/>
  <c r="BH110" i="7" s="1"/>
  <c r="AX29" i="7"/>
  <c r="AV29" i="7"/>
  <c r="AZ29" i="7"/>
  <c r="AT29" i="7"/>
  <c r="AV115" i="7"/>
  <c r="BG115" i="7" s="1"/>
  <c r="AT115" i="7"/>
  <c r="BH115" i="7" s="1"/>
  <c r="AT6" i="7"/>
  <c r="BH6" i="7" s="1"/>
  <c r="AV6" i="7"/>
  <c r="BG6" i="7" s="1"/>
  <c r="AV147" i="7"/>
  <c r="BG147" i="7" s="1"/>
  <c r="AT147" i="7"/>
  <c r="BH147" i="7" s="1"/>
  <c r="AT55" i="7"/>
  <c r="BH55" i="7" s="1"/>
  <c r="AV55" i="7"/>
  <c r="BG55" i="7" s="1"/>
  <c r="AV122" i="7"/>
  <c r="BG122" i="7" s="1"/>
  <c r="AT122" i="7"/>
  <c r="BH122" i="7" s="1"/>
  <c r="AV146" i="7"/>
  <c r="BG146" i="7" s="1"/>
  <c r="AT146" i="7"/>
  <c r="BH146" i="7" s="1"/>
  <c r="AV98" i="7"/>
  <c r="BG98" i="7" s="1"/>
  <c r="AT98" i="7"/>
  <c r="BH98" i="7" s="1"/>
  <c r="AT35" i="7"/>
  <c r="BH35" i="7" s="1"/>
  <c r="AV35" i="7"/>
  <c r="BG35" i="7" s="1"/>
  <c r="AV56" i="7"/>
  <c r="BG56" i="7" s="1"/>
  <c r="AT56" i="7"/>
  <c r="BH56" i="7" s="1"/>
  <c r="AT149" i="7"/>
  <c r="BH149" i="7" s="1"/>
  <c r="AV149" i="7"/>
  <c r="BG149" i="7" s="1"/>
  <c r="AV143" i="7"/>
  <c r="BG143" i="7" s="1"/>
  <c r="AT143" i="7"/>
  <c r="BH143" i="7" s="1"/>
  <c r="AT126" i="7"/>
  <c r="BH126" i="7" s="1"/>
  <c r="AV126" i="7"/>
  <c r="BG126" i="7" s="1"/>
  <c r="AV100" i="7"/>
  <c r="BG100" i="7" s="1"/>
  <c r="AT100" i="7"/>
  <c r="BH100" i="7" s="1"/>
  <c r="AV142" i="7"/>
  <c r="BG142" i="7" s="1"/>
  <c r="AT142" i="7"/>
  <c r="BH142" i="7" s="1"/>
  <c r="AV135" i="7"/>
  <c r="BG135" i="7" s="1"/>
  <c r="AT135" i="7"/>
  <c r="BH135" i="7" s="1"/>
  <c r="AV104" i="7"/>
  <c r="AT104" i="7"/>
  <c r="AT22" i="7"/>
  <c r="BH22" i="7" s="1"/>
  <c r="AV22" i="7"/>
  <c r="BG22" i="7" s="1"/>
  <c r="AV34" i="7"/>
  <c r="AT34" i="7"/>
  <c r="AV99" i="7"/>
  <c r="BG99" i="7" s="1"/>
  <c r="AT99" i="7"/>
  <c r="BH99" i="7" s="1"/>
  <c r="AV91" i="7"/>
  <c r="BG91" i="7" s="1"/>
  <c r="AT91" i="7"/>
  <c r="BH91" i="7" s="1"/>
  <c r="AV58" i="7"/>
  <c r="BG58" i="7" s="1"/>
  <c r="AT58" i="7"/>
  <c r="BH58" i="7" s="1"/>
  <c r="AV96" i="7"/>
  <c r="BG96" i="7" s="1"/>
  <c r="AT96" i="7"/>
  <c r="BH96" i="7" s="1"/>
  <c r="AX77" i="7"/>
  <c r="BJ77" i="7" s="1"/>
  <c r="AZ77" i="7"/>
  <c r="BI77" i="7" s="1"/>
  <c r="AT77" i="7"/>
  <c r="BH77" i="7" s="1"/>
  <c r="AV77" i="7"/>
  <c r="BG77" i="7" s="1"/>
  <c r="AV39" i="7"/>
  <c r="AT39" i="7"/>
  <c r="AT62" i="7"/>
  <c r="BH62" i="7" s="1"/>
  <c r="AV62" i="7"/>
  <c r="BG62" i="7" s="1"/>
  <c r="AT117" i="7"/>
  <c r="BH117" i="7" s="1"/>
  <c r="AV117" i="7"/>
  <c r="BG117" i="7" s="1"/>
  <c r="AT21" i="7"/>
  <c r="AV21" i="7"/>
  <c r="AZ32" i="7"/>
  <c r="AV32" i="7"/>
  <c r="AT32" i="7"/>
  <c r="AX32" i="7"/>
  <c r="AV15" i="7"/>
  <c r="BG15" i="7" s="1"/>
  <c r="AT15" i="7"/>
  <c r="BH15" i="7" s="1"/>
  <c r="AV64" i="7"/>
  <c r="BG64" i="7" s="1"/>
  <c r="AT64" i="7"/>
  <c r="BH64" i="7" s="1"/>
  <c r="AZ80" i="7"/>
  <c r="BI80" i="7" s="1"/>
  <c r="AV80" i="7"/>
  <c r="BG80" i="7" s="1"/>
  <c r="AT80" i="7"/>
  <c r="BH80" i="7" s="1"/>
  <c r="AX80" i="7"/>
  <c r="BJ80" i="7" s="1"/>
  <c r="AV139" i="7"/>
  <c r="BG139" i="7" s="1"/>
  <c r="AT139" i="7"/>
  <c r="BH139" i="7" s="1"/>
  <c r="AV48" i="7"/>
  <c r="BG48" i="7" s="1"/>
  <c r="AT48" i="7"/>
  <c r="BH48" i="7" s="1"/>
  <c r="AV82" i="7"/>
  <c r="BG82" i="7" s="1"/>
  <c r="AT82" i="7"/>
  <c r="BH82" i="7" s="1"/>
  <c r="AV130" i="7"/>
  <c r="BG130" i="7" s="1"/>
  <c r="AT130" i="7"/>
  <c r="BH130" i="7" s="1"/>
  <c r="AT124" i="7"/>
  <c r="AV124" i="7"/>
  <c r="AZ124" i="7"/>
  <c r="AX124" i="7"/>
  <c r="AT140" i="7"/>
  <c r="BH140" i="7" s="1"/>
  <c r="AV140" i="7"/>
  <c r="BG140" i="7" s="1"/>
  <c r="AV73" i="7"/>
  <c r="BG73" i="7" s="1"/>
  <c r="AT73" i="7"/>
  <c r="BH73" i="7" s="1"/>
  <c r="AV50" i="7"/>
  <c r="BG50" i="7" s="1"/>
  <c r="AT50" i="7"/>
  <c r="BH50" i="7" s="1"/>
  <c r="AT46" i="7"/>
  <c r="BH46" i="7" s="1"/>
  <c r="AV46" i="7"/>
  <c r="BG46" i="7" s="1"/>
  <c r="AV57" i="7"/>
  <c r="BG57" i="7" s="1"/>
  <c r="AT57" i="7"/>
  <c r="BH57" i="7" s="1"/>
  <c r="AV72" i="7"/>
  <c r="BG72" i="7" s="1"/>
  <c r="AT72" i="7"/>
  <c r="BH72" i="7" s="1"/>
  <c r="AT119" i="7"/>
  <c r="BH119" i="7" s="1"/>
  <c r="AV119" i="7"/>
  <c r="BG119" i="7" s="1"/>
  <c r="AV47" i="7"/>
  <c r="BG47" i="7" s="1"/>
  <c r="AT47" i="7"/>
  <c r="BH47" i="7" s="1"/>
  <c r="AV71" i="7"/>
  <c r="BG71" i="7" s="1"/>
  <c r="AT71" i="7"/>
  <c r="BH71" i="7" s="1"/>
  <c r="AV2" i="7"/>
  <c r="AT2" i="7"/>
  <c r="AT12" i="7"/>
  <c r="BH12" i="7" s="1"/>
  <c r="AV12" i="7"/>
  <c r="BG12" i="7" s="1"/>
  <c r="AT85" i="7"/>
  <c r="BH85" i="7" s="1"/>
  <c r="AV85" i="7"/>
  <c r="BG85" i="7" s="1"/>
  <c r="AV88" i="7"/>
  <c r="BG88" i="7" s="1"/>
  <c r="AX88" i="7"/>
  <c r="AT88" i="7"/>
  <c r="BH88" i="7" s="1"/>
  <c r="AV69" i="7"/>
  <c r="BG69" i="7" s="1"/>
  <c r="AT69" i="7"/>
  <c r="BH69" i="7" s="1"/>
  <c r="AV16" i="7"/>
  <c r="BG16" i="7" s="1"/>
  <c r="AT16" i="7"/>
  <c r="BH16" i="7" s="1"/>
  <c r="AT61" i="7"/>
  <c r="BH61" i="7" s="1"/>
  <c r="AV61" i="7"/>
  <c r="BG61" i="7" s="1"/>
  <c r="AZ61" i="7"/>
  <c r="AT36" i="7"/>
  <c r="BH36" i="7" s="1"/>
  <c r="AV36" i="7"/>
  <c r="BG36" i="7" s="1"/>
  <c r="AT65" i="7"/>
  <c r="BH65" i="7" s="1"/>
  <c r="AV65" i="7"/>
  <c r="BG65" i="7" s="1"/>
  <c r="AX75" i="7"/>
  <c r="BJ75" i="7" s="1"/>
  <c r="AV75" i="7"/>
  <c r="BG75" i="7" s="1"/>
  <c r="AZ75" i="7"/>
  <c r="BI75" i="7" s="1"/>
  <c r="AT75" i="7"/>
  <c r="BH75" i="7" s="1"/>
  <c r="AV18" i="7"/>
  <c r="BG18" i="7" s="1"/>
  <c r="AT18" i="7"/>
  <c r="BH18" i="7" s="1"/>
  <c r="AV10" i="7"/>
  <c r="BG10" i="7" s="1"/>
  <c r="AT10" i="7"/>
  <c r="AV145" i="7"/>
  <c r="BG145" i="7" s="1"/>
  <c r="AT145" i="7"/>
  <c r="BH145" i="7" s="1"/>
  <c r="AT97" i="7"/>
  <c r="BH97" i="7" s="1"/>
  <c r="AV97" i="7"/>
  <c r="BG97" i="7" s="1"/>
  <c r="AV90" i="7"/>
  <c r="BG90" i="7" s="1"/>
  <c r="AT90" i="7"/>
  <c r="BH90" i="7" s="1"/>
  <c r="AV128" i="7"/>
  <c r="BG128" i="7" s="1"/>
  <c r="AT128" i="7"/>
  <c r="BH128" i="7" s="1"/>
  <c r="AT93" i="7"/>
  <c r="BH93" i="7" s="1"/>
  <c r="AV93" i="7"/>
  <c r="BG93" i="7" s="1"/>
  <c r="AT150" i="7"/>
  <c r="BH150" i="7" s="1"/>
  <c r="AV150" i="7"/>
  <c r="BG150" i="7" s="1"/>
  <c r="AT13" i="7"/>
  <c r="BH13" i="7" s="1"/>
  <c r="AV13" i="7"/>
  <c r="BG13" i="7" s="1"/>
  <c r="AV138" i="7"/>
  <c r="BG138" i="7" s="1"/>
  <c r="AT138" i="7"/>
  <c r="BH138" i="7" s="1"/>
  <c r="AT60" i="7"/>
  <c r="BH60" i="7" s="1"/>
  <c r="AV60" i="7"/>
  <c r="BG60" i="7" s="1"/>
  <c r="AT116" i="7"/>
  <c r="BH116" i="7" s="1"/>
  <c r="AV116" i="7"/>
  <c r="BG116" i="7" s="1"/>
  <c r="AT14" i="7"/>
  <c r="BH14" i="7" s="1"/>
  <c r="AV14" i="7"/>
  <c r="BG14" i="7" s="1"/>
  <c r="AV102" i="7"/>
  <c r="BG102" i="7" s="1"/>
  <c r="AT102" i="7"/>
  <c r="BH102" i="7" s="1"/>
  <c r="AZ102" i="7"/>
  <c r="BI102" i="7" s="1"/>
  <c r="AX102" i="7"/>
  <c r="BJ102" i="7" s="1"/>
  <c r="AV74" i="7"/>
  <c r="BG74" i="7" s="1"/>
  <c r="AT74" i="7"/>
  <c r="BH74" i="7" s="1"/>
  <c r="AT4" i="7"/>
  <c r="AV4" i="7"/>
  <c r="AT45" i="7"/>
  <c r="BH45" i="7" s="1"/>
  <c r="AV45" i="7"/>
  <c r="BG45" i="7" s="1"/>
  <c r="AV19" i="7"/>
  <c r="AT19" i="7"/>
  <c r="AT33" i="7"/>
  <c r="AV33" i="7"/>
  <c r="AT38" i="7"/>
  <c r="AV38" i="7"/>
  <c r="AV144" i="7"/>
  <c r="BG144" i="7" s="1"/>
  <c r="AT144" i="7"/>
  <c r="BH144" i="7" s="1"/>
  <c r="AT43" i="7"/>
  <c r="AV43" i="7"/>
  <c r="AV137" i="7"/>
  <c r="BG137" i="7" s="1"/>
  <c r="AT137" i="7"/>
  <c r="BH137" i="7" s="1"/>
  <c r="AT92" i="7"/>
  <c r="BH92" i="7" s="1"/>
  <c r="AV92" i="7"/>
  <c r="BG92" i="7" s="1"/>
  <c r="AZ86" i="7"/>
  <c r="BI86" i="7" s="1"/>
  <c r="AX86" i="7"/>
  <c r="BJ86" i="7" s="1"/>
  <c r="AT86" i="7"/>
  <c r="BH86" i="7" s="1"/>
  <c r="AV86" i="7"/>
  <c r="BG86" i="7" s="1"/>
  <c r="AV59" i="7"/>
  <c r="BG59" i="7" s="1"/>
  <c r="AT59" i="7"/>
  <c r="BH59" i="7" s="1"/>
  <c r="AX31" i="7"/>
  <c r="AV31" i="7"/>
  <c r="AZ31" i="7"/>
  <c r="AT31" i="7"/>
  <c r="AT3" i="7"/>
  <c r="AV3" i="7"/>
  <c r="AT118" i="7"/>
  <c r="AV118" i="7"/>
  <c r="AT109" i="7"/>
  <c r="BH109" i="7" s="1"/>
  <c r="AV109" i="7"/>
  <c r="BG109" i="7" s="1"/>
  <c r="AV83" i="7"/>
  <c r="BG83" i="7" s="1"/>
  <c r="AT83" i="7"/>
  <c r="BH83" i="7" s="1"/>
  <c r="AT44" i="7"/>
  <c r="AV44" i="7"/>
  <c r="AT125" i="7"/>
  <c r="BH125" i="7" s="1"/>
  <c r="AV125" i="7"/>
  <c r="BG125" i="7" s="1"/>
  <c r="AV26" i="7"/>
  <c r="AT26" i="7"/>
  <c r="AZ76" i="7"/>
  <c r="BI76" i="7" s="1"/>
  <c r="AT76" i="7"/>
  <c r="BH76" i="7" s="1"/>
  <c r="AX76" i="7"/>
  <c r="BJ76" i="7" s="1"/>
  <c r="AV76" i="7"/>
  <c r="BG76" i="7" s="1"/>
  <c r="AT127" i="7"/>
  <c r="BH127" i="7" s="1"/>
  <c r="AV127" i="7"/>
  <c r="BG127" i="7" s="1"/>
  <c r="AV42" i="7"/>
  <c r="AT42" i="7"/>
  <c r="AX133" i="7"/>
  <c r="BJ133" i="7" s="1"/>
  <c r="AV133" i="7"/>
  <c r="BG133" i="7" s="1"/>
  <c r="AT133" i="7"/>
  <c r="BH133" i="7" s="1"/>
  <c r="AZ133" i="7"/>
  <c r="BI133" i="7" s="1"/>
  <c r="AV5" i="7"/>
  <c r="BG5" i="7" s="1"/>
  <c r="AT5" i="7"/>
  <c r="BH5" i="7" s="1"/>
  <c r="AV123" i="7"/>
  <c r="BG123" i="7" s="1"/>
  <c r="AT123" i="7"/>
  <c r="BH123" i="7" s="1"/>
  <c r="AV136" i="7"/>
  <c r="BG136" i="7" s="1"/>
  <c r="AT136" i="7"/>
  <c r="BH136" i="7" s="1"/>
  <c r="AT63" i="7"/>
  <c r="BH63" i="7" s="1"/>
  <c r="AV63" i="7"/>
  <c r="BG63" i="7" s="1"/>
  <c r="AV70" i="7"/>
  <c r="BG70" i="7" s="1"/>
  <c r="AT70" i="7"/>
  <c r="BH70" i="7" s="1"/>
  <c r="AV27" i="7"/>
  <c r="AT27" i="7"/>
  <c r="AV78" i="7"/>
  <c r="BG78" i="7" s="1"/>
  <c r="AZ78" i="7"/>
  <c r="BI78" i="7" s="1"/>
  <c r="AT78" i="7"/>
  <c r="BH78" i="7" s="1"/>
  <c r="AX78" i="7"/>
  <c r="BJ78" i="7" s="1"/>
  <c r="AT148" i="7"/>
  <c r="BH148" i="7" s="1"/>
  <c r="AV148" i="7"/>
  <c r="BG148" i="7" s="1"/>
  <c r="AT84" i="7"/>
  <c r="BH84" i="7" s="1"/>
  <c r="AV84" i="7"/>
  <c r="BG84" i="7" s="1"/>
  <c r="AT52" i="7"/>
  <c r="AV52" i="7"/>
  <c r="AV89" i="7"/>
  <c r="BG89" i="7" s="1"/>
  <c r="AT89" i="7"/>
  <c r="BH89" i="7" s="1"/>
  <c r="AT54" i="7"/>
  <c r="BH54" i="7" s="1"/>
  <c r="AV54" i="7"/>
  <c r="BG54" i="7" s="1"/>
  <c r="AV41" i="7"/>
  <c r="AT41" i="7"/>
  <c r="AZ131" i="7"/>
  <c r="BI131" i="7" s="1"/>
  <c r="AX131" i="7"/>
  <c r="BJ131" i="7" s="1"/>
  <c r="AV131" i="7"/>
  <c r="BG131" i="7" s="1"/>
  <c r="AT131" i="7"/>
  <c r="BH131" i="7" s="1"/>
  <c r="AV81" i="7"/>
  <c r="BG81" i="7" s="1"/>
  <c r="AT81" i="7"/>
  <c r="BH81" i="7" s="1"/>
  <c r="AT23" i="7"/>
  <c r="BH23" i="7" s="1"/>
  <c r="AV23" i="7"/>
  <c r="BG23" i="7" s="1"/>
  <c r="AV120" i="7"/>
  <c r="BG120" i="7" s="1"/>
  <c r="AT120" i="7"/>
  <c r="BH120" i="7" s="1"/>
  <c r="AV66" i="7"/>
  <c r="BG66" i="7" s="1"/>
  <c r="AT66" i="7"/>
  <c r="BH66" i="7" s="1"/>
  <c r="AV106" i="7"/>
  <c r="AT106" i="7"/>
  <c r="AV114" i="7"/>
  <c r="BG114" i="7" s="1"/>
  <c r="AT114" i="7"/>
  <c r="BH114" i="7" s="1"/>
  <c r="AV51" i="7"/>
  <c r="BG51" i="7" s="1"/>
  <c r="AT51" i="7"/>
  <c r="BH51" i="7" s="1"/>
  <c r="AV132" i="7"/>
  <c r="BG132" i="7" s="1"/>
  <c r="AT132" i="7"/>
  <c r="BH132" i="7" s="1"/>
  <c r="AZ132" i="7"/>
  <c r="BI132" i="7" s="1"/>
  <c r="AX132" i="7"/>
  <c r="BJ132" i="7" s="1"/>
  <c r="AV9" i="7"/>
  <c r="AT9" i="7"/>
  <c r="AT94" i="7"/>
  <c r="BH94" i="7" s="1"/>
  <c r="AV94" i="7"/>
  <c r="BG94" i="7" s="1"/>
  <c r="AT28" i="7"/>
  <c r="BH28" i="7" s="1"/>
  <c r="AV28" i="7"/>
  <c r="BG28" i="7" s="1"/>
  <c r="AX28" i="7"/>
  <c r="AT30" i="7"/>
  <c r="AX30" i="7"/>
  <c r="AV30" i="7"/>
  <c r="AZ30" i="7"/>
  <c r="AX87" i="7"/>
  <c r="BJ87" i="7" s="1"/>
  <c r="AZ87" i="7"/>
  <c r="BI87" i="7" s="1"/>
  <c r="AT87" i="7"/>
  <c r="BH87" i="7" s="1"/>
  <c r="AV87" i="7"/>
  <c r="BG87" i="7" s="1"/>
  <c r="AV8" i="7"/>
  <c r="AT8" i="7"/>
  <c r="AT141" i="7"/>
  <c r="BH141" i="7" s="1"/>
  <c r="AV141" i="7"/>
  <c r="BG141" i="7" s="1"/>
  <c r="AV134" i="7"/>
  <c r="BG134" i="7" s="1"/>
  <c r="AT134" i="7"/>
  <c r="BH134" i="7" s="1"/>
  <c r="AZ134" i="7"/>
  <c r="BI134" i="7" s="1"/>
  <c r="AX134" i="7"/>
  <c r="BJ134" i="7" s="1"/>
  <c r="AT95" i="7"/>
  <c r="AV95" i="7"/>
  <c r="AV17" i="7"/>
  <c r="AT17" i="7"/>
  <c r="AV40" i="7"/>
  <c r="AT40" i="7"/>
  <c r="AV49" i="7"/>
  <c r="AT49" i="7"/>
  <c r="AT129" i="7"/>
  <c r="BH129" i="7" s="1"/>
  <c r="AV129" i="7"/>
  <c r="BG129" i="7" s="1"/>
  <c r="AV68" i="7"/>
  <c r="AT68" i="7"/>
  <c r="AV7" i="7"/>
  <c r="BG7" i="7" s="1"/>
  <c r="AT7" i="7"/>
  <c r="BH7" i="7" s="1"/>
  <c r="AV101" i="7"/>
  <c r="BG101" i="7" s="1"/>
  <c r="AT101" i="7"/>
  <c r="BH101" i="7" s="1"/>
  <c r="AV111" i="7"/>
  <c r="BG111" i="7" s="1"/>
  <c r="AT111" i="7"/>
  <c r="BH111" i="7" s="1"/>
  <c r="AV37" i="7"/>
  <c r="AT37" i="7"/>
  <c r="AV67" i="7"/>
  <c r="BG67" i="7" s="1"/>
  <c r="AT67" i="7"/>
  <c r="BH67" i="7" s="1"/>
  <c r="BG52" i="7"/>
  <c r="BH52" i="7"/>
  <c r="BG19" i="7"/>
  <c r="BH19" i="7"/>
  <c r="BH124" i="7"/>
  <c r="BG124" i="7"/>
  <c r="BG17" i="7"/>
  <c r="BH17" i="7"/>
  <c r="AB38" i="22"/>
  <c r="AC38" i="22" s="1"/>
  <c r="AB37" i="22"/>
  <c r="AC37" i="22" s="1"/>
  <c r="AB32" i="22"/>
  <c r="AC32" i="22" s="1"/>
  <c r="AB39" i="22"/>
  <c r="AC39" i="22" s="1"/>
  <c r="AB29" i="22"/>
  <c r="AC29" i="22" s="1"/>
  <c r="AB40" i="22"/>
  <c r="AC40" i="22" s="1"/>
  <c r="AB34" i="22"/>
  <c r="AC34" i="22" s="1"/>
  <c r="AB44" i="22"/>
  <c r="AC44" i="22" s="1"/>
  <c r="AB30" i="22"/>
  <c r="AC30" i="22" s="1"/>
  <c r="AB41" i="22"/>
  <c r="AC41" i="22" s="1"/>
  <c r="AB31" i="22"/>
  <c r="AC31" i="22" s="1"/>
  <c r="AB42" i="22"/>
  <c r="AC42" i="22" s="1"/>
  <c r="AB36" i="22"/>
  <c r="AC36" i="22" s="1"/>
  <c r="AB43" i="22"/>
  <c r="AC43" i="22" s="1"/>
  <c r="AB33" i="22"/>
  <c r="AC33" i="22" s="1"/>
  <c r="AB35" i="22"/>
  <c r="AC35" i="22" s="1"/>
  <c r="AB119" i="20"/>
  <c r="AC119" i="20" s="1"/>
  <c r="AD23" i="22"/>
  <c r="AE23" i="22" s="1"/>
  <c r="AD25" i="22"/>
  <c r="AE25" i="22" s="1"/>
  <c r="AD15" i="22"/>
  <c r="AE15" i="22" s="1"/>
  <c r="AD27" i="22"/>
  <c r="AE27" i="22" s="1"/>
  <c r="AD19" i="22"/>
  <c r="AE19" i="22" s="1"/>
  <c r="AD18" i="22"/>
  <c r="AE18" i="22" s="1"/>
  <c r="AD26" i="22"/>
  <c r="AE26" i="22" s="1"/>
  <c r="AD17" i="22"/>
  <c r="AE17" i="22" s="1"/>
  <c r="AD22" i="22"/>
  <c r="AE22" i="22" s="1"/>
  <c r="AD21" i="22"/>
  <c r="AE21" i="22" s="1"/>
  <c r="AD16" i="22"/>
  <c r="AE16" i="22" s="1"/>
  <c r="AD20" i="22"/>
  <c r="AE20" i="22" s="1"/>
  <c r="AD24" i="22"/>
  <c r="AE24" i="22" s="1"/>
  <c r="AB60" i="22"/>
  <c r="AC60" i="22" s="1"/>
  <c r="AB50" i="22"/>
  <c r="AC50" i="22" s="1"/>
  <c r="AB46" i="22"/>
  <c r="AC46" i="22" s="1"/>
  <c r="AB51" i="22"/>
  <c r="AC51" i="22" s="1"/>
  <c r="AB47" i="22"/>
  <c r="AC47" i="22" s="1"/>
  <c r="AB52" i="22"/>
  <c r="AC52" i="22" s="1"/>
  <c r="AB48" i="22"/>
  <c r="AC48" i="22" s="1"/>
  <c r="AB49" i="22"/>
  <c r="AC49" i="22" s="1"/>
  <c r="AB45" i="22"/>
  <c r="AC45" i="22" s="1"/>
  <c r="AB72" i="22"/>
  <c r="AC72" i="22" s="1"/>
  <c r="AB71" i="22"/>
  <c r="AC71" i="22" s="1"/>
  <c r="AB70" i="22"/>
  <c r="AC70" i="22" s="1"/>
  <c r="AB69" i="22"/>
  <c r="AC69" i="22" s="1"/>
  <c r="AB68" i="22"/>
  <c r="AC68" i="22" s="1"/>
  <c r="AB67" i="22"/>
  <c r="AC67" i="22" s="1"/>
  <c r="AB66" i="22"/>
  <c r="AC66" i="22" s="1"/>
  <c r="AB65" i="22"/>
  <c r="AC65" i="22" s="1"/>
  <c r="AB61" i="22"/>
  <c r="AC61" i="22" s="1"/>
  <c r="AB62" i="22"/>
  <c r="AC62" i="22" s="1"/>
  <c r="AB63" i="22"/>
  <c r="AC63" i="22" s="1"/>
  <c r="AB64" i="22"/>
  <c r="AC64" i="22" s="1"/>
  <c r="AB76" i="22"/>
  <c r="AC76" i="22" s="1"/>
  <c r="AB75" i="22"/>
  <c r="AC75" i="22" s="1"/>
  <c r="AB74" i="22"/>
  <c r="AC74" i="22" s="1"/>
  <c r="AB73" i="22"/>
  <c r="AC73" i="22" s="1"/>
  <c r="AB8" i="22"/>
  <c r="AC8" i="22" s="1"/>
  <c r="AB13" i="22"/>
  <c r="AC13" i="22" s="1"/>
  <c r="AB12" i="22"/>
  <c r="AC12" i="22" s="1"/>
  <c r="AB9" i="22"/>
  <c r="AC9" i="22" s="1"/>
  <c r="AB14" i="22"/>
  <c r="AC14" i="22" s="1"/>
  <c r="AB7" i="22"/>
  <c r="AC7" i="22" s="1"/>
  <c r="AB10" i="22"/>
  <c r="AC10" i="22" s="1"/>
  <c r="AB2" i="22"/>
  <c r="AC2" i="22" s="1"/>
  <c r="AB3" i="22"/>
  <c r="AC3" i="22" s="1"/>
  <c r="AB6" i="22"/>
  <c r="AC6" i="22" s="1"/>
  <c r="AB4" i="22"/>
  <c r="AC4" i="22" s="1"/>
  <c r="AB11" i="22"/>
  <c r="AC11" i="22" s="1"/>
  <c r="AB5" i="22"/>
  <c r="AC5" i="22" s="1"/>
  <c r="AB59" i="22"/>
  <c r="AC59" i="22" s="1"/>
  <c r="AB57" i="22"/>
  <c r="AC57" i="22" s="1"/>
  <c r="AB58" i="22"/>
  <c r="AC58" i="22" s="1"/>
  <c r="AB28" i="20"/>
  <c r="AC28" i="20" s="1"/>
  <c r="AB28" i="22"/>
  <c r="AC28" i="22" s="1"/>
  <c r="AD53" i="22"/>
  <c r="AE53" i="22" s="1"/>
  <c r="AD54" i="22"/>
  <c r="AE54" i="22" s="1"/>
  <c r="AD55" i="22"/>
  <c r="AE55" i="22" s="1"/>
  <c r="AD56" i="22"/>
  <c r="AE56" i="22" s="1"/>
  <c r="C9" i="22"/>
  <c r="A10" i="22"/>
  <c r="J6" i="21"/>
  <c r="P28" i="21"/>
  <c r="P29" i="21"/>
  <c r="J7" i="21"/>
  <c r="G7" i="21"/>
  <c r="G6" i="21"/>
  <c r="AB173" i="20"/>
  <c r="AC173" i="20" s="1"/>
  <c r="AD96" i="20"/>
  <c r="AE96" i="20" s="1"/>
  <c r="AD97" i="20"/>
  <c r="AE97" i="20" s="1"/>
  <c r="AD168" i="20"/>
  <c r="AE168" i="20" s="1"/>
  <c r="AD167" i="20"/>
  <c r="AE167" i="20" s="1"/>
  <c r="AD53" i="20"/>
  <c r="AE53" i="20" s="1"/>
  <c r="AD55" i="20"/>
  <c r="AE55" i="20" s="1"/>
  <c r="AD54" i="20"/>
  <c r="AE54" i="20" s="1"/>
  <c r="AD56" i="20"/>
  <c r="AE56" i="20" s="1"/>
  <c r="AD91" i="20"/>
  <c r="AE91" i="20" s="1"/>
  <c r="AD92" i="20"/>
  <c r="AE92" i="20" s="1"/>
  <c r="AD21" i="20"/>
  <c r="AE21" i="20" s="1"/>
  <c r="AD23" i="20"/>
  <c r="AE23" i="20" s="1"/>
  <c r="AD25" i="20"/>
  <c r="AE25" i="20" s="1"/>
  <c r="AD15" i="20"/>
  <c r="AE15" i="20" s="1"/>
  <c r="AD27" i="20"/>
  <c r="AE27" i="20" s="1"/>
  <c r="AD19" i="20"/>
  <c r="AE19" i="20" s="1"/>
  <c r="AD18" i="20"/>
  <c r="AE18" i="20" s="1"/>
  <c r="AD22" i="20"/>
  <c r="AE22" i="20" s="1"/>
  <c r="AD17" i="20"/>
  <c r="AE17" i="20" s="1"/>
  <c r="AD20" i="20"/>
  <c r="AE20" i="20" s="1"/>
  <c r="AD16" i="20"/>
  <c r="AE16" i="20" s="1"/>
  <c r="AD26" i="20"/>
  <c r="AE26" i="20" s="1"/>
  <c r="AD24" i="20"/>
  <c r="AE24" i="20" s="1"/>
  <c r="AD157" i="20"/>
  <c r="AE157" i="20" s="1"/>
  <c r="AD158" i="20"/>
  <c r="AE158" i="20" s="1"/>
  <c r="AD144" i="20"/>
  <c r="AE144" i="20" s="1"/>
  <c r="AD154" i="20"/>
  <c r="AE154" i="20" s="1"/>
  <c r="AD141" i="20"/>
  <c r="AE141" i="20" s="1"/>
  <c r="AD142" i="20"/>
  <c r="AE142" i="20" s="1"/>
  <c r="AD143" i="20"/>
  <c r="AE143" i="20" s="1"/>
  <c r="AD83" i="20"/>
  <c r="AE83" i="20" s="1"/>
  <c r="AD84" i="20"/>
  <c r="AE84" i="20" s="1"/>
  <c r="AD98" i="20"/>
  <c r="AE98" i="20" s="1"/>
  <c r="AD81" i="20"/>
  <c r="AE81" i="20" s="1"/>
  <c r="AD82" i="20"/>
  <c r="AE82" i="20" s="1"/>
  <c r="AB39" i="20"/>
  <c r="AC39" i="20" s="1"/>
  <c r="AB29" i="20"/>
  <c r="AC29" i="20" s="1"/>
  <c r="AB40" i="20"/>
  <c r="AC40" i="20" s="1"/>
  <c r="AB41" i="20"/>
  <c r="AC41" i="20" s="1"/>
  <c r="AB42" i="20"/>
  <c r="AC42" i="20" s="1"/>
  <c r="AB43" i="20"/>
  <c r="AC43" i="20" s="1"/>
  <c r="AB35" i="20"/>
  <c r="AC35" i="20" s="1"/>
  <c r="AB34" i="20"/>
  <c r="AC34" i="20" s="1"/>
  <c r="AB33" i="20"/>
  <c r="AC33" i="20" s="1"/>
  <c r="AB32" i="20"/>
  <c r="AC32" i="20" s="1"/>
  <c r="AB37" i="20"/>
  <c r="AC37" i="20" s="1"/>
  <c r="AB36" i="20"/>
  <c r="AC36" i="20" s="1"/>
  <c r="AB31" i="20"/>
  <c r="AC31" i="20" s="1"/>
  <c r="AB44" i="20"/>
  <c r="AC44" i="20" s="1"/>
  <c r="AB38" i="20"/>
  <c r="AC38" i="20" s="1"/>
  <c r="AB30" i="20"/>
  <c r="AC30" i="20" s="1"/>
  <c r="AB99" i="20"/>
  <c r="AC99" i="20" s="1"/>
  <c r="AB100" i="20"/>
  <c r="AC100" i="20" s="1"/>
  <c r="AD169" i="20"/>
  <c r="AE169" i="20" s="1"/>
  <c r="AD128" i="20"/>
  <c r="AE128" i="20" s="1"/>
  <c r="AD137" i="20"/>
  <c r="AE137" i="20" s="1"/>
  <c r="AD138" i="20"/>
  <c r="AE138" i="20" s="1"/>
  <c r="AD163" i="20"/>
  <c r="AE163" i="20" s="1"/>
  <c r="AD139" i="20"/>
  <c r="AE139" i="20" s="1"/>
  <c r="AD120" i="20"/>
  <c r="AE120" i="20" s="1"/>
  <c r="AD162" i="20"/>
  <c r="AE162" i="20" s="1"/>
  <c r="AD140" i="20"/>
  <c r="AE140" i="20" s="1"/>
  <c r="AD122" i="20"/>
  <c r="AE122" i="20" s="1"/>
  <c r="AD121" i="20"/>
  <c r="AE121" i="20" s="1"/>
  <c r="AD106" i="20"/>
  <c r="AE106" i="20" s="1"/>
  <c r="AD161" i="20"/>
  <c r="AE161" i="20" s="1"/>
  <c r="AD107" i="20"/>
  <c r="AE107" i="20" s="1"/>
  <c r="AD95" i="20"/>
  <c r="AE95" i="20" s="1"/>
  <c r="AD94" i="20"/>
  <c r="AE94" i="20" s="1"/>
  <c r="AD105" i="20"/>
  <c r="AE105" i="20" s="1"/>
  <c r="AB172" i="20"/>
  <c r="AC172" i="20" s="1"/>
  <c r="AB51" i="20"/>
  <c r="AC51" i="20" s="1"/>
  <c r="AB50" i="20"/>
  <c r="AC50" i="20" s="1"/>
  <c r="AB49" i="20"/>
  <c r="AC49" i="20" s="1"/>
  <c r="AB48" i="20"/>
  <c r="AC48" i="20" s="1"/>
  <c r="AB47" i="20"/>
  <c r="AC47" i="20" s="1"/>
  <c r="AB46" i="20"/>
  <c r="AC46" i="20" s="1"/>
  <c r="AB45" i="20"/>
  <c r="AC45" i="20" s="1"/>
  <c r="AB52" i="20"/>
  <c r="AC52" i="20" s="1"/>
  <c r="AB186" i="20"/>
  <c r="AC186" i="20" s="1"/>
  <c r="AB185" i="20"/>
  <c r="AC185" i="20" s="1"/>
  <c r="AB184" i="20"/>
  <c r="AC184" i="20" s="1"/>
  <c r="AB183" i="20"/>
  <c r="AC183" i="20" s="1"/>
  <c r="AB182" i="20"/>
  <c r="AC182" i="20" s="1"/>
  <c r="AB181" i="20"/>
  <c r="AC181" i="20" s="1"/>
  <c r="AB180" i="20"/>
  <c r="AC180" i="20" s="1"/>
  <c r="AB175" i="20"/>
  <c r="AC175" i="20" s="1"/>
  <c r="AB178" i="20"/>
  <c r="AC178" i="20" s="1"/>
  <c r="AB176" i="20"/>
  <c r="AC176" i="20" s="1"/>
  <c r="AB179" i="20"/>
  <c r="AC179" i="20" s="1"/>
  <c r="AB177" i="20"/>
  <c r="AC177" i="20" s="1"/>
  <c r="AB170" i="20"/>
  <c r="AC170" i="20" s="1"/>
  <c r="AB171" i="20"/>
  <c r="AC171" i="20" s="1"/>
  <c r="AB73" i="20"/>
  <c r="AC73" i="20" s="1"/>
  <c r="AB74" i="20"/>
  <c r="AC74" i="20" s="1"/>
  <c r="AB68" i="20"/>
  <c r="AC68" i="20" s="1"/>
  <c r="AB69" i="20"/>
  <c r="AC69" i="20" s="1"/>
  <c r="AB70" i="20"/>
  <c r="AC70" i="20" s="1"/>
  <c r="AB71" i="20"/>
  <c r="AC71" i="20" s="1"/>
  <c r="AB80" i="20"/>
  <c r="AC80" i="20" s="1"/>
  <c r="AB72" i="20"/>
  <c r="AC72" i="20" s="1"/>
  <c r="AB190" i="20"/>
  <c r="AC190" i="20" s="1"/>
  <c r="AB189" i="20"/>
  <c r="AC189" i="20" s="1"/>
  <c r="AB188" i="20"/>
  <c r="AC188" i="20" s="1"/>
  <c r="AB187" i="20"/>
  <c r="AC187" i="20" s="1"/>
  <c r="AB6" i="20"/>
  <c r="AC6" i="20" s="1"/>
  <c r="AB8" i="20"/>
  <c r="AC8" i="20" s="1"/>
  <c r="AB13" i="20"/>
  <c r="AC13" i="20" s="1"/>
  <c r="AB14" i="20"/>
  <c r="AC14" i="20" s="1"/>
  <c r="AB11" i="20"/>
  <c r="AC11" i="20" s="1"/>
  <c r="AB3" i="20"/>
  <c r="AC3" i="20" s="1"/>
  <c r="AB10" i="20"/>
  <c r="AC10" i="20" s="1"/>
  <c r="AB5" i="20"/>
  <c r="AC5" i="20" s="1"/>
  <c r="AB4" i="20"/>
  <c r="AC4" i="20" s="1"/>
  <c r="AB12" i="20"/>
  <c r="AC12" i="20" s="1"/>
  <c r="AB7" i="20"/>
  <c r="AC7" i="20" s="1"/>
  <c r="AB9" i="20"/>
  <c r="AC9" i="20" s="1"/>
  <c r="AB2" i="20"/>
  <c r="AC2" i="20" s="1"/>
  <c r="AB59" i="20"/>
  <c r="AC59" i="20" s="1"/>
  <c r="AB58" i="20"/>
  <c r="AC58" i="20" s="1"/>
  <c r="AB57" i="20"/>
  <c r="AC57" i="20" s="1"/>
  <c r="AB134" i="20"/>
  <c r="AC134" i="20" s="1"/>
  <c r="AB135" i="20"/>
  <c r="AC135" i="20" s="1"/>
  <c r="AB136" i="20"/>
  <c r="AC136" i="20" s="1"/>
  <c r="AB124" i="20"/>
  <c r="AC124" i="20" s="1"/>
  <c r="AB123" i="20"/>
  <c r="AC123" i="20" s="1"/>
  <c r="AB174" i="20"/>
  <c r="AC174" i="20" s="1"/>
  <c r="AB133" i="20"/>
  <c r="AC133" i="20" s="1"/>
  <c r="AB60" i="20"/>
  <c r="AC60" i="20" s="1"/>
  <c r="AB67" i="20"/>
  <c r="AC67" i="20" s="1"/>
  <c r="AB93" i="20"/>
  <c r="AC93" i="20" s="1"/>
  <c r="AB64" i="20"/>
  <c r="AC64" i="20" s="1"/>
  <c r="AB62" i="20"/>
  <c r="AC62" i="20" s="1"/>
  <c r="AB65" i="20"/>
  <c r="AC65" i="20" s="1"/>
  <c r="AB63" i="20"/>
  <c r="AC63" i="20" s="1"/>
  <c r="AB66" i="20"/>
  <c r="AC66" i="20" s="1"/>
  <c r="AB126" i="20"/>
  <c r="AC126" i="20" s="1"/>
  <c r="AB164" i="20"/>
  <c r="AC164" i="20" s="1"/>
  <c r="AB127" i="20"/>
  <c r="AC127" i="20" s="1"/>
  <c r="AB125" i="20"/>
  <c r="AC125" i="20" s="1"/>
  <c r="AB103" i="20"/>
  <c r="AC103" i="20" s="1"/>
  <c r="AB102" i="20"/>
  <c r="AC102" i="20" s="1"/>
  <c r="AB104" i="20"/>
  <c r="AC104" i="20" s="1"/>
  <c r="AB146" i="20"/>
  <c r="AC146" i="20" s="1"/>
  <c r="AB108" i="20"/>
  <c r="AC108" i="20" s="1"/>
  <c r="AB109" i="20"/>
  <c r="AC109" i="20" s="1"/>
  <c r="AB148" i="20"/>
  <c r="AC148" i="20" s="1"/>
  <c r="AB112" i="20"/>
  <c r="AC112" i="20" s="1"/>
  <c r="AB110" i="20"/>
  <c r="AC110" i="20" s="1"/>
  <c r="AB111" i="20"/>
  <c r="AC111" i="20" s="1"/>
  <c r="AB147" i="20"/>
  <c r="AC147" i="20" s="1"/>
  <c r="AB145" i="20"/>
  <c r="AC145" i="20" s="1"/>
  <c r="AB89" i="20"/>
  <c r="AC89" i="20" s="1"/>
  <c r="AB90" i="20"/>
  <c r="AC90" i="20" s="1"/>
  <c r="AB88" i="20"/>
  <c r="AC88" i="20" s="1"/>
  <c r="AB87" i="20"/>
  <c r="AC87" i="20" s="1"/>
  <c r="A13" i="20"/>
  <c r="C12" i="20"/>
  <c r="AD61" i="20"/>
  <c r="AE61" i="20" s="1"/>
  <c r="AD166" i="20"/>
  <c r="AE166" i="20" s="1"/>
  <c r="AD165" i="20"/>
  <c r="AE165" i="20" s="1"/>
  <c r="AD160" i="20"/>
  <c r="AE160" i="20" s="1"/>
  <c r="AD113" i="20"/>
  <c r="AE113" i="20" s="1"/>
  <c r="AD159" i="20"/>
  <c r="AE159" i="20" s="1"/>
  <c r="AD114" i="20"/>
  <c r="AE114" i="20" s="1"/>
  <c r="AD115" i="20"/>
  <c r="AE115" i="20" s="1"/>
  <c r="AD116" i="20"/>
  <c r="AE116" i="20" s="1"/>
  <c r="AD117" i="20"/>
  <c r="AE117" i="20" s="1"/>
  <c r="AD118" i="20"/>
  <c r="AE118" i="20" s="1"/>
  <c r="AD156" i="20"/>
  <c r="AE156" i="20" s="1"/>
  <c r="AD155" i="20"/>
  <c r="AE155" i="20" s="1"/>
  <c r="BG106" i="7"/>
  <c r="BG107" i="7"/>
  <c r="W40" i="13"/>
  <c r="X40" i="13" s="1"/>
  <c r="E100" i="10"/>
  <c r="Z57" i="13"/>
  <c r="AA57" i="13" s="1"/>
  <c r="Z55" i="13"/>
  <c r="AA55" i="13" s="1"/>
  <c r="Z53" i="13"/>
  <c r="AA53" i="13" s="1"/>
  <c r="Z58" i="13"/>
  <c r="AA58" i="13" s="1"/>
  <c r="Z56" i="13"/>
  <c r="AA56" i="13" s="1"/>
  <c r="Z54" i="13"/>
  <c r="AA54" i="13" s="1"/>
  <c r="Y60" i="13"/>
  <c r="Z60" i="13" s="1"/>
  <c r="Y62" i="13"/>
  <c r="Z62" i="13" s="1"/>
  <c r="Y59" i="13"/>
  <c r="Z59" i="13" s="1"/>
  <c r="Z52" i="13"/>
  <c r="AA52" i="13" s="1"/>
  <c r="Y61" i="13"/>
  <c r="Z61" i="13" s="1"/>
  <c r="X61" i="13"/>
  <c r="Y57" i="13"/>
  <c r="Y51" i="13"/>
  <c r="A53" i="13"/>
  <c r="A54" i="13" s="1"/>
  <c r="A55" i="13" s="1"/>
  <c r="A56" i="13" s="1"/>
  <c r="A57" i="13" s="1"/>
  <c r="A58" i="13" s="1"/>
  <c r="Y50" i="13"/>
  <c r="BH107" i="7"/>
  <c r="BH106" i="7"/>
  <c r="V41" i="13"/>
  <c r="V40" i="13"/>
  <c r="G25" i="10"/>
  <c r="G53" i="10"/>
  <c r="F97" i="10"/>
  <c r="F50" i="10"/>
  <c r="F5" i="10"/>
  <c r="F83" i="10"/>
  <c r="G95" i="10"/>
  <c r="F76" i="10"/>
  <c r="F20" i="10"/>
  <c r="F28" i="10"/>
  <c r="F99" i="10"/>
  <c r="F67" i="10"/>
  <c r="G12" i="10"/>
  <c r="F57" i="10"/>
  <c r="G29" i="10"/>
  <c r="G7" i="10"/>
  <c r="F26" i="10"/>
  <c r="F75" i="10"/>
  <c r="AW61" i="7"/>
  <c r="AX61" i="7" s="1"/>
  <c r="G81" i="10"/>
  <c r="F79" i="10"/>
  <c r="F68" i="10"/>
  <c r="F46" i="10"/>
  <c r="F38" i="10"/>
  <c r="F27" i="10"/>
  <c r="G21" i="10"/>
  <c r="G15" i="10"/>
  <c r="F10" i="10"/>
  <c r="G6" i="10"/>
  <c r="AY88" i="7"/>
  <c r="AZ88" i="7" s="1"/>
  <c r="F98" i="10"/>
  <c r="G71" i="10"/>
  <c r="F61" i="10"/>
  <c r="F93" i="10"/>
  <c r="G88" i="10"/>
  <c r="F80" i="10"/>
  <c r="F78" i="10"/>
  <c r="G37" i="10"/>
  <c r="G19" i="10"/>
  <c r="F13" i="10"/>
  <c r="F8" i="10"/>
  <c r="G96" i="10"/>
  <c r="F92" i="10"/>
  <c r="F70" i="10"/>
  <c r="F66" i="10"/>
  <c r="F55" i="10"/>
  <c r="F52" i="10"/>
  <c r="G42" i="10"/>
  <c r="G24" i="10"/>
  <c r="G18" i="10"/>
  <c r="G3" i="10"/>
  <c r="BD61" i="27" l="1"/>
  <c r="AQ82" i="27"/>
  <c r="BA82" i="27" s="1"/>
  <c r="AO189" i="27"/>
  <c r="AZ189" i="27" s="1"/>
  <c r="AO169" i="27"/>
  <c r="AZ169" i="27" s="1"/>
  <c r="AQ149" i="27"/>
  <c r="BA149" i="27" s="1"/>
  <c r="AO58" i="27"/>
  <c r="AZ58" i="27" s="1"/>
  <c r="AO84" i="27"/>
  <c r="AZ84" i="27" s="1"/>
  <c r="AQ48" i="27"/>
  <c r="BA48" i="27" s="1"/>
  <c r="AQ130" i="27"/>
  <c r="BA130" i="27" s="1"/>
  <c r="AO46" i="27"/>
  <c r="AZ46" i="27" s="1"/>
  <c r="AO130" i="27"/>
  <c r="AO163" i="27"/>
  <c r="AZ163" i="27" s="1"/>
  <c r="AQ84" i="27"/>
  <c r="BA84" i="27" s="1"/>
  <c r="AQ50" i="27"/>
  <c r="BA50" i="27" s="1"/>
  <c r="AQ95" i="27"/>
  <c r="BA95" i="27" s="1"/>
  <c r="AQ139" i="27"/>
  <c r="BA139" i="27" s="1"/>
  <c r="AQ62" i="27"/>
  <c r="BA62" i="27" s="1"/>
  <c r="AQ138" i="27"/>
  <c r="BA138" i="27" s="1"/>
  <c r="AO73" i="27"/>
  <c r="AZ73" i="27" s="1"/>
  <c r="AO35" i="27"/>
  <c r="AQ14" i="27"/>
  <c r="BA14" i="27" s="1"/>
  <c r="AO136" i="27"/>
  <c r="AZ136" i="27" s="1"/>
  <c r="AQ68" i="27"/>
  <c r="BA68" i="27" s="1"/>
  <c r="AQ28" i="27"/>
  <c r="BA28" i="27" s="1"/>
  <c r="AO188" i="27"/>
  <c r="AZ188" i="27" s="1"/>
  <c r="AO110" i="27"/>
  <c r="AZ110" i="27" s="1"/>
  <c r="AQ110" i="27"/>
  <c r="BA110" i="27" s="1"/>
  <c r="AO16" i="27"/>
  <c r="AZ16" i="27" s="1"/>
  <c r="AO100" i="27"/>
  <c r="AZ100" i="27" s="1"/>
  <c r="AO183" i="27"/>
  <c r="AZ183" i="27" s="1"/>
  <c r="AQ59" i="27"/>
  <c r="BA59" i="27" s="1"/>
  <c r="AO160" i="27"/>
  <c r="AZ160" i="27" s="1"/>
  <c r="AQ101" i="27"/>
  <c r="BA101" i="27" s="1"/>
  <c r="AQ182" i="27"/>
  <c r="BA182" i="27" s="1"/>
  <c r="AO57" i="27"/>
  <c r="AZ57" i="27" s="1"/>
  <c r="AQ160" i="27"/>
  <c r="BA160" i="27" s="1"/>
  <c r="AO47" i="27"/>
  <c r="AZ47" i="27" s="1"/>
  <c r="AQ96" i="27"/>
  <c r="BA96" i="27" s="1"/>
  <c r="AQ136" i="27"/>
  <c r="BA136" i="27" s="1"/>
  <c r="AO94" i="27"/>
  <c r="AZ94" i="27" s="1"/>
  <c r="AO45" i="27"/>
  <c r="AZ45" i="27" s="1"/>
  <c r="AO95" i="27"/>
  <c r="AZ95" i="27" s="1"/>
  <c r="AO123" i="27"/>
  <c r="AZ123" i="27" s="1"/>
  <c r="AQ83" i="27"/>
  <c r="BA83" i="27" s="1"/>
  <c r="AQ107" i="27"/>
  <c r="BA107" i="27" s="1"/>
  <c r="AQ140" i="27"/>
  <c r="BA140" i="27" s="1"/>
  <c r="AQ93" i="27"/>
  <c r="BA93" i="27" s="1"/>
  <c r="AQ65" i="27"/>
  <c r="BA65" i="27" s="1"/>
  <c r="AQ137" i="27"/>
  <c r="BA137" i="27" s="1"/>
  <c r="AO144" i="27"/>
  <c r="AZ144" i="27" s="1"/>
  <c r="AO71" i="27"/>
  <c r="AZ71" i="27" s="1"/>
  <c r="AQ7" i="27"/>
  <c r="BA7" i="27" s="1"/>
  <c r="AO66" i="27"/>
  <c r="AQ121" i="27"/>
  <c r="BA121" i="27" s="1"/>
  <c r="AQ71" i="27"/>
  <c r="BA71" i="27" s="1"/>
  <c r="AO6" i="27"/>
  <c r="AO190" i="27"/>
  <c r="AZ190" i="27" s="1"/>
  <c r="AO168" i="27"/>
  <c r="AZ168" i="27" s="1"/>
  <c r="AO150" i="27"/>
  <c r="AZ150" i="27" s="1"/>
  <c r="AO166" i="27"/>
  <c r="AZ166" i="27" s="1"/>
  <c r="AQ169" i="27"/>
  <c r="BA169" i="27" s="1"/>
  <c r="AQ90" i="27"/>
  <c r="BA90" i="27" s="1"/>
  <c r="AQ167" i="27"/>
  <c r="BA167" i="27" s="1"/>
  <c r="AO177" i="27"/>
  <c r="AZ177" i="27" s="1"/>
  <c r="AO185" i="27"/>
  <c r="AZ185" i="27" s="1"/>
  <c r="AO117" i="27"/>
  <c r="AZ117" i="27" s="1"/>
  <c r="AQ23" i="27"/>
  <c r="BA23" i="27" s="1"/>
  <c r="AQ176" i="27"/>
  <c r="BA176" i="27" s="1"/>
  <c r="AQ184" i="27"/>
  <c r="BA184" i="27" s="1"/>
  <c r="AQ127" i="27"/>
  <c r="BA127" i="27" s="1"/>
  <c r="AQ119" i="27"/>
  <c r="BA119" i="27" s="1"/>
  <c r="AQ45" i="27"/>
  <c r="BA45" i="27" s="1"/>
  <c r="AQ66" i="27"/>
  <c r="BA66" i="27" s="1"/>
  <c r="AO62" i="27"/>
  <c r="AO96" i="27"/>
  <c r="AZ96" i="27" s="1"/>
  <c r="AQ51" i="27"/>
  <c r="BA51" i="27" s="1"/>
  <c r="AQ122" i="27"/>
  <c r="BA122" i="27" s="1"/>
  <c r="AQ97" i="27"/>
  <c r="BA97" i="27" s="1"/>
  <c r="AQ64" i="27"/>
  <c r="BA64" i="27" s="1"/>
  <c r="AQ135" i="27"/>
  <c r="BA135" i="27" s="1"/>
  <c r="AO146" i="27"/>
  <c r="AZ146" i="27" s="1"/>
  <c r="AO72" i="27"/>
  <c r="AZ72" i="27" s="1"/>
  <c r="AQ6" i="27"/>
  <c r="BA6" i="27" s="1"/>
  <c r="AQ156" i="27"/>
  <c r="BA156" i="27" s="1"/>
  <c r="AO65" i="27"/>
  <c r="AZ65" i="27" s="1"/>
  <c r="AO135" i="27"/>
  <c r="AZ135" i="27" s="1"/>
  <c r="AQ143" i="27"/>
  <c r="BA143" i="27" s="1"/>
  <c r="AQ72" i="27"/>
  <c r="BA72" i="27" s="1"/>
  <c r="AQ35" i="27"/>
  <c r="BA35" i="27" s="1"/>
  <c r="AO5" i="27"/>
  <c r="AZ5" i="27" s="1"/>
  <c r="AQ89" i="27"/>
  <c r="BA89" i="27" s="1"/>
  <c r="AO22" i="27"/>
  <c r="AO15" i="27"/>
  <c r="AZ15" i="27" s="1"/>
  <c r="AO178" i="27"/>
  <c r="AO186" i="27"/>
  <c r="AZ186" i="27" s="1"/>
  <c r="AQ177" i="27"/>
  <c r="BA177" i="27" s="1"/>
  <c r="AQ185" i="27"/>
  <c r="BA185" i="27" s="1"/>
  <c r="AQ129" i="27"/>
  <c r="BA129" i="27" s="1"/>
  <c r="AQ114" i="27"/>
  <c r="BA114" i="27" s="1"/>
  <c r="AO164" i="27"/>
  <c r="AZ164" i="27" s="1"/>
  <c r="AQ146" i="27"/>
  <c r="BA146" i="27" s="1"/>
  <c r="AQ123" i="27"/>
  <c r="BA123" i="27" s="1"/>
  <c r="AO69" i="27"/>
  <c r="AZ69" i="27" s="1"/>
  <c r="AQ4" i="27"/>
  <c r="BA4" i="27" s="1"/>
  <c r="AQ190" i="27"/>
  <c r="BA190" i="27" s="1"/>
  <c r="AQ157" i="27"/>
  <c r="BA157" i="27" s="1"/>
  <c r="AO64" i="27"/>
  <c r="AZ64" i="27" s="1"/>
  <c r="AO126" i="27"/>
  <c r="AZ126" i="27" s="1"/>
  <c r="AQ144" i="27"/>
  <c r="BA144" i="27" s="1"/>
  <c r="AQ69" i="27"/>
  <c r="BA69" i="27" s="1"/>
  <c r="AO10" i="27"/>
  <c r="AZ10" i="27" s="1"/>
  <c r="AO14" i="27"/>
  <c r="AQ88" i="27"/>
  <c r="BA88" i="27" s="1"/>
  <c r="AO91" i="27"/>
  <c r="AZ91" i="27" s="1"/>
  <c r="AO55" i="27"/>
  <c r="AZ55" i="27" s="1"/>
  <c r="AO158" i="27"/>
  <c r="AO179" i="27"/>
  <c r="AZ179" i="27" s="1"/>
  <c r="AO187" i="27"/>
  <c r="AZ187" i="27" s="1"/>
  <c r="AO127" i="27"/>
  <c r="AZ127" i="27" s="1"/>
  <c r="AO119" i="27"/>
  <c r="AZ119" i="27" s="1"/>
  <c r="AQ22" i="27"/>
  <c r="BA22" i="27" s="1"/>
  <c r="AQ16" i="27"/>
  <c r="BA16" i="27" s="1"/>
  <c r="AQ178" i="27"/>
  <c r="BA178" i="27" s="1"/>
  <c r="AQ186" i="27"/>
  <c r="BA186" i="27" s="1"/>
  <c r="AQ115" i="27"/>
  <c r="BA115" i="27" s="1"/>
  <c r="AO122" i="27"/>
  <c r="AZ122" i="27" s="1"/>
  <c r="AO143" i="27"/>
  <c r="AQ13" i="27"/>
  <c r="BA13" i="27" s="1"/>
  <c r="AO88" i="27"/>
  <c r="AQ70" i="27"/>
  <c r="BA70" i="27" s="1"/>
  <c r="AO167" i="27"/>
  <c r="AZ167" i="27" s="1"/>
  <c r="AO176" i="27"/>
  <c r="AQ18" i="27"/>
  <c r="BA18" i="27" s="1"/>
  <c r="AQ183" i="27"/>
  <c r="BA183" i="27" s="1"/>
  <c r="AO92" i="27"/>
  <c r="AZ92" i="27" s="1"/>
  <c r="AQ94" i="27"/>
  <c r="BA94" i="27" s="1"/>
  <c r="AO83" i="27"/>
  <c r="AZ83" i="27" s="1"/>
  <c r="AO50" i="27"/>
  <c r="AZ50" i="27" s="1"/>
  <c r="AO108" i="27"/>
  <c r="AZ108" i="27" s="1"/>
  <c r="AO139" i="27"/>
  <c r="AO93" i="27"/>
  <c r="AZ93" i="27" s="1"/>
  <c r="AQ46" i="27"/>
  <c r="BA46" i="27" s="1"/>
  <c r="AQ164" i="27"/>
  <c r="BA164" i="27" s="1"/>
  <c r="AQ60" i="27"/>
  <c r="BA60" i="27" s="1"/>
  <c r="AO74" i="27"/>
  <c r="AZ74" i="27" s="1"/>
  <c r="AO36" i="27"/>
  <c r="AZ36" i="27" s="1"/>
  <c r="AO28" i="27"/>
  <c r="AZ28" i="27" s="1"/>
  <c r="AQ10" i="27"/>
  <c r="BA10" i="27" s="1"/>
  <c r="AQ191" i="27"/>
  <c r="BA191" i="27" s="1"/>
  <c r="AO60" i="27"/>
  <c r="AZ60" i="27" s="1"/>
  <c r="AO137" i="27"/>
  <c r="AQ145" i="27"/>
  <c r="BA145" i="27" s="1"/>
  <c r="AQ73" i="27"/>
  <c r="BA73" i="27" s="1"/>
  <c r="AQ36" i="27"/>
  <c r="BA36" i="27" s="1"/>
  <c r="AO7" i="27"/>
  <c r="AZ7" i="27" s="1"/>
  <c r="AO90" i="27"/>
  <c r="AZ90" i="27" s="1"/>
  <c r="AO147" i="27"/>
  <c r="AZ147" i="27" s="1"/>
  <c r="AQ109" i="27"/>
  <c r="BA109" i="27" s="1"/>
  <c r="AQ147" i="27"/>
  <c r="BA147" i="27" s="1"/>
  <c r="AQ56" i="27"/>
  <c r="BA56" i="27" s="1"/>
  <c r="AO159" i="27"/>
  <c r="AZ159" i="27" s="1"/>
  <c r="AO180" i="27"/>
  <c r="AZ180" i="27" s="1"/>
  <c r="AO128" i="27"/>
  <c r="AZ128" i="27" s="1"/>
  <c r="AO161" i="27"/>
  <c r="AZ161" i="27" s="1"/>
  <c r="AQ159" i="27"/>
  <c r="BA159" i="27" s="1"/>
  <c r="AQ179" i="27"/>
  <c r="BA179" i="27" s="1"/>
  <c r="AQ187" i="27"/>
  <c r="BA187" i="27" s="1"/>
  <c r="AO85" i="27"/>
  <c r="AZ85" i="27" s="1"/>
  <c r="AQ141" i="27"/>
  <c r="BA141" i="27" s="1"/>
  <c r="AQ120" i="27"/>
  <c r="BA120" i="27" s="1"/>
  <c r="AO13" i="27"/>
  <c r="AZ13" i="27" s="1"/>
  <c r="AQ166" i="27"/>
  <c r="BA166" i="27" s="1"/>
  <c r="AO116" i="27"/>
  <c r="AZ116" i="27" s="1"/>
  <c r="AQ100" i="27"/>
  <c r="BA100" i="27" s="1"/>
  <c r="AO48" i="27"/>
  <c r="AO141" i="27"/>
  <c r="AO49" i="27"/>
  <c r="AZ49" i="27" s="1"/>
  <c r="AO142" i="27"/>
  <c r="AZ142" i="27" s="1"/>
  <c r="AO140" i="27"/>
  <c r="AZ140" i="27" s="1"/>
  <c r="AQ85" i="27"/>
  <c r="BA85" i="27" s="1"/>
  <c r="AQ47" i="27"/>
  <c r="BA47" i="27" s="1"/>
  <c r="AQ142" i="27"/>
  <c r="BA142" i="27" s="1"/>
  <c r="AQ163" i="27"/>
  <c r="BA163" i="27" s="1"/>
  <c r="AQ63" i="27"/>
  <c r="BA63" i="27" s="1"/>
  <c r="AQ125" i="27"/>
  <c r="BA125" i="27" s="1"/>
  <c r="AO121" i="27"/>
  <c r="AZ121" i="27" s="1"/>
  <c r="AO70" i="27"/>
  <c r="AZ70" i="27" s="1"/>
  <c r="AQ12" i="27"/>
  <c r="BA12" i="27" s="1"/>
  <c r="AQ189" i="27"/>
  <c r="BA189" i="27" s="1"/>
  <c r="AO98" i="27"/>
  <c r="AZ98" i="27" s="1"/>
  <c r="AO63" i="27"/>
  <c r="AZ63" i="27" s="1"/>
  <c r="AO125" i="27"/>
  <c r="AQ74" i="27"/>
  <c r="BA74" i="27" s="1"/>
  <c r="AO12" i="27"/>
  <c r="AZ12" i="27" s="1"/>
  <c r="AO4" i="27"/>
  <c r="AZ4" i="27" s="1"/>
  <c r="AO156" i="27"/>
  <c r="AO89" i="27"/>
  <c r="AO148" i="27"/>
  <c r="AO56" i="27"/>
  <c r="AZ56" i="27" s="1"/>
  <c r="AQ111" i="27"/>
  <c r="BA111" i="27" s="1"/>
  <c r="AQ148" i="27"/>
  <c r="BA148" i="27" s="1"/>
  <c r="AQ54" i="27"/>
  <c r="BA54" i="27" s="1"/>
  <c r="AO18" i="27"/>
  <c r="AZ18" i="27" s="1"/>
  <c r="AO181" i="27"/>
  <c r="AZ181" i="27" s="1"/>
  <c r="AQ57" i="27"/>
  <c r="BA57" i="27" s="1"/>
  <c r="AO129" i="27"/>
  <c r="AO115" i="27"/>
  <c r="AQ15" i="27"/>
  <c r="BA15" i="27" s="1"/>
  <c r="AQ158" i="27"/>
  <c r="BA158" i="27" s="1"/>
  <c r="AQ180" i="27"/>
  <c r="BA180" i="27" s="1"/>
  <c r="AQ128" i="27"/>
  <c r="BA128" i="27" s="1"/>
  <c r="AQ117" i="27"/>
  <c r="BA117" i="27" s="1"/>
  <c r="AQ92" i="27"/>
  <c r="BA92" i="27" s="1"/>
  <c r="AO68" i="27"/>
  <c r="AZ68" i="27" s="1"/>
  <c r="AO111" i="27"/>
  <c r="AZ111" i="27" s="1"/>
  <c r="AQ168" i="27"/>
  <c r="BA168" i="27" s="1"/>
  <c r="AO184" i="27"/>
  <c r="AZ184" i="27" s="1"/>
  <c r="AQ161" i="27"/>
  <c r="BA161" i="27" s="1"/>
  <c r="AO99" i="27"/>
  <c r="AZ99" i="27" s="1"/>
  <c r="AO82" i="27"/>
  <c r="AO107" i="27"/>
  <c r="AQ98" i="27"/>
  <c r="BA98" i="27" s="1"/>
  <c r="AO51" i="27"/>
  <c r="AO162" i="27"/>
  <c r="AQ99" i="27"/>
  <c r="BA99" i="27" s="1"/>
  <c r="AQ49" i="27"/>
  <c r="BA49" i="27" s="1"/>
  <c r="AQ108" i="27"/>
  <c r="BA108" i="27" s="1"/>
  <c r="AQ162" i="27"/>
  <c r="BA162" i="27" s="1"/>
  <c r="AQ67" i="27"/>
  <c r="BA67" i="27" s="1"/>
  <c r="AQ126" i="27"/>
  <c r="BA126" i="27" s="1"/>
  <c r="AO145" i="27"/>
  <c r="AZ145" i="27" s="1"/>
  <c r="AO120" i="27"/>
  <c r="AO81" i="27"/>
  <c r="AZ81" i="27" s="1"/>
  <c r="AQ11" i="27"/>
  <c r="BA11" i="27" s="1"/>
  <c r="AQ5" i="27"/>
  <c r="BA5" i="27" s="1"/>
  <c r="AQ188" i="27"/>
  <c r="BA188" i="27" s="1"/>
  <c r="AO97" i="27"/>
  <c r="AZ97" i="27" s="1"/>
  <c r="AO67" i="27"/>
  <c r="AO138" i="27"/>
  <c r="AQ81" i="27"/>
  <c r="BA81" i="27" s="1"/>
  <c r="AO11" i="27"/>
  <c r="AZ11" i="27" s="1"/>
  <c r="AO191" i="27"/>
  <c r="AZ191" i="27" s="1"/>
  <c r="AO157" i="27"/>
  <c r="AZ157" i="27" s="1"/>
  <c r="AO109" i="27"/>
  <c r="AZ109" i="27" s="1"/>
  <c r="AO149" i="27"/>
  <c r="AO54" i="27"/>
  <c r="AQ91" i="27"/>
  <c r="BA91" i="27" s="1"/>
  <c r="AQ150" i="27"/>
  <c r="BA150" i="27" s="1"/>
  <c r="AQ55" i="27"/>
  <c r="BA55" i="27" s="1"/>
  <c r="AO23" i="27"/>
  <c r="AO101" i="27"/>
  <c r="AO182" i="27"/>
  <c r="AZ182" i="27" s="1"/>
  <c r="AQ58" i="27"/>
  <c r="BA58" i="27" s="1"/>
  <c r="AO114" i="27"/>
  <c r="AQ181" i="27"/>
  <c r="BA181" i="27" s="1"/>
  <c r="AO59" i="27"/>
  <c r="AZ59" i="27" s="1"/>
  <c r="AQ116" i="27"/>
  <c r="BA116" i="27" s="1"/>
  <c r="C18" i="27"/>
  <c r="BM134" i="7"/>
  <c r="BM78" i="7"/>
  <c r="BM102" i="7"/>
  <c r="BM133" i="7"/>
  <c r="BM87" i="7"/>
  <c r="BM76" i="7"/>
  <c r="BM86" i="7"/>
  <c r="BM75" i="7"/>
  <c r="BM77" i="7"/>
  <c r="BM80" i="7"/>
  <c r="BM132" i="7"/>
  <c r="BM131" i="7"/>
  <c r="BG68" i="7"/>
  <c r="U10" i="14"/>
  <c r="T10" i="14"/>
  <c r="S10" i="14"/>
  <c r="V10" i="14" s="1"/>
  <c r="Y8" i="14"/>
  <c r="BH68" i="7"/>
  <c r="Q10" i="14"/>
  <c r="O10" i="14"/>
  <c r="R10" i="14" s="1"/>
  <c r="P10" i="14"/>
  <c r="U4" i="14"/>
  <c r="T4" i="14"/>
  <c r="S4" i="14"/>
  <c r="V4" i="14" s="1"/>
  <c r="Q4" i="14"/>
  <c r="P4" i="14"/>
  <c r="O4" i="14"/>
  <c r="R4" i="14" s="1"/>
  <c r="Q7" i="14"/>
  <c r="P7" i="14"/>
  <c r="O7" i="14"/>
  <c r="R7" i="14" s="1"/>
  <c r="O5" i="14"/>
  <c r="R5" i="14" s="1"/>
  <c r="Q5" i="14"/>
  <c r="P5" i="14"/>
  <c r="T7" i="14"/>
  <c r="S7" i="14"/>
  <c r="V7" i="14" s="1"/>
  <c r="U7" i="14"/>
  <c r="O6" i="14"/>
  <c r="R6" i="14" s="1"/>
  <c r="P6" i="14"/>
  <c r="Q6" i="14"/>
  <c r="S5" i="14"/>
  <c r="V5" i="14" s="1"/>
  <c r="U5" i="14"/>
  <c r="T5" i="14"/>
  <c r="X8" i="14"/>
  <c r="U6" i="14"/>
  <c r="T6" i="14"/>
  <c r="S6" i="14"/>
  <c r="V6" i="14" s="1"/>
  <c r="BG4" i="7"/>
  <c r="BH4" i="7"/>
  <c r="BG49" i="7"/>
  <c r="BH49" i="7"/>
  <c r="BH10" i="7"/>
  <c r="AD28" i="22"/>
  <c r="AE28" i="22" s="1"/>
  <c r="AY28" i="7"/>
  <c r="AZ28" i="7" s="1"/>
  <c r="AW166" i="7"/>
  <c r="AX166" i="7" s="1"/>
  <c r="AW167" i="7"/>
  <c r="AX167" i="7" s="1"/>
  <c r="AW54" i="7"/>
  <c r="AX54" i="7" s="1"/>
  <c r="AW55" i="7"/>
  <c r="AX55" i="7" s="1"/>
  <c r="AW53" i="7"/>
  <c r="AW56" i="7"/>
  <c r="AX56" i="7" s="1"/>
  <c r="AW117" i="7"/>
  <c r="AX117" i="7" s="1"/>
  <c r="AW118" i="7"/>
  <c r="AX118" i="7" s="1"/>
  <c r="AW119" i="7"/>
  <c r="AX119" i="7" s="1"/>
  <c r="AW115" i="7"/>
  <c r="AX115" i="7" s="1"/>
  <c r="AW116" i="7"/>
  <c r="AX116" i="7" s="1"/>
  <c r="AW161" i="7"/>
  <c r="AX161" i="7" s="1"/>
  <c r="AW114" i="7"/>
  <c r="AX114" i="7" s="1"/>
  <c r="AW160" i="7"/>
  <c r="AX160" i="7" s="1"/>
  <c r="AW99" i="7"/>
  <c r="AX99" i="7" s="1"/>
  <c r="AW82" i="7"/>
  <c r="AX82" i="7" s="1"/>
  <c r="AW83" i="7"/>
  <c r="AX83" i="7" s="1"/>
  <c r="AW84" i="7"/>
  <c r="AX84" i="7" s="1"/>
  <c r="AW85" i="7"/>
  <c r="AX85" i="7" s="1"/>
  <c r="AY100" i="7"/>
  <c r="AZ100" i="7" s="1"/>
  <c r="AY101" i="7"/>
  <c r="AZ101" i="7" s="1"/>
  <c r="AW141" i="7"/>
  <c r="AX141" i="7" s="1"/>
  <c r="AW142" i="7"/>
  <c r="AX142" i="7" s="1"/>
  <c r="AW107" i="7"/>
  <c r="AX107" i="7" s="1"/>
  <c r="AW123" i="7"/>
  <c r="AX123" i="7" s="1"/>
  <c r="AW139" i="7"/>
  <c r="AX139" i="7" s="1"/>
  <c r="AW163" i="7"/>
  <c r="AX163" i="7" s="1"/>
  <c r="AW140" i="7"/>
  <c r="AX140" i="7" s="1"/>
  <c r="AW122" i="7"/>
  <c r="AX122" i="7" s="1"/>
  <c r="AW170" i="7"/>
  <c r="AW108" i="7"/>
  <c r="AX108" i="7" s="1"/>
  <c r="AW106" i="7"/>
  <c r="AX106" i="7" s="1"/>
  <c r="AW95" i="7"/>
  <c r="AX95" i="7" s="1"/>
  <c r="AW130" i="7"/>
  <c r="AX130" i="7" s="1"/>
  <c r="AW164" i="7"/>
  <c r="AX164" i="7" s="1"/>
  <c r="AW124" i="7"/>
  <c r="AW96" i="7"/>
  <c r="AX96" i="7" s="1"/>
  <c r="AW162" i="7"/>
  <c r="AX162" i="7" s="1"/>
  <c r="AW18" i="7"/>
  <c r="AX18" i="7" s="1"/>
  <c r="AW195" i="7"/>
  <c r="AW16" i="7"/>
  <c r="AX16" i="7" s="1"/>
  <c r="AW17" i="7"/>
  <c r="AX17" i="7" s="1"/>
  <c r="AW26" i="7"/>
  <c r="AX26" i="7" s="1"/>
  <c r="AW22" i="7"/>
  <c r="AX22" i="7" s="1"/>
  <c r="AW23" i="7"/>
  <c r="AX23" i="7" s="1"/>
  <c r="AW192" i="7"/>
  <c r="AW19" i="7"/>
  <c r="AX19" i="7" s="1"/>
  <c r="AW27" i="7"/>
  <c r="AX27" i="7" s="1"/>
  <c r="AW193" i="7"/>
  <c r="AW20" i="7"/>
  <c r="AX20" i="7" s="1"/>
  <c r="AW21" i="7"/>
  <c r="AX21" i="7" s="1"/>
  <c r="AW196" i="7"/>
  <c r="AW194" i="7"/>
  <c r="AW15" i="7"/>
  <c r="AX15" i="7" s="1"/>
  <c r="AW25" i="7"/>
  <c r="AW24" i="7"/>
  <c r="AY91" i="7"/>
  <c r="AZ91" i="7" s="1"/>
  <c r="AY147" i="7"/>
  <c r="AZ147" i="7" s="1"/>
  <c r="AY148" i="7"/>
  <c r="AZ148" i="7" s="1"/>
  <c r="AY109" i="7"/>
  <c r="AZ109" i="7" s="1"/>
  <c r="AY149" i="7"/>
  <c r="AZ149" i="7" s="1"/>
  <c r="AY89" i="7"/>
  <c r="AZ89" i="7" s="1"/>
  <c r="AY113" i="7"/>
  <c r="AZ113" i="7" s="1"/>
  <c r="AY111" i="7"/>
  <c r="AZ111" i="7" s="1"/>
  <c r="AY150" i="7"/>
  <c r="AZ150" i="7" s="1"/>
  <c r="AY110" i="7"/>
  <c r="AZ110" i="7" s="1"/>
  <c r="AY90" i="7"/>
  <c r="AZ90" i="7" s="1"/>
  <c r="AY112" i="7"/>
  <c r="AY179" i="7"/>
  <c r="AZ179" i="7" s="1"/>
  <c r="AY187" i="7"/>
  <c r="AZ187" i="7" s="1"/>
  <c r="AY180" i="7"/>
  <c r="AZ180" i="7" s="1"/>
  <c r="AY181" i="7"/>
  <c r="AZ181" i="7" s="1"/>
  <c r="AY177" i="7"/>
  <c r="AZ177" i="7" s="1"/>
  <c r="AY185" i="7"/>
  <c r="AZ185" i="7" s="1"/>
  <c r="AY183" i="7"/>
  <c r="AZ183" i="7" s="1"/>
  <c r="AY176" i="7"/>
  <c r="AZ176" i="7" s="1"/>
  <c r="AY178" i="7"/>
  <c r="AZ178" i="7" s="1"/>
  <c r="AY186" i="7"/>
  <c r="AZ186" i="7" s="1"/>
  <c r="AY182" i="7"/>
  <c r="AZ182" i="7" s="1"/>
  <c r="AY184" i="7"/>
  <c r="AZ184" i="7" s="1"/>
  <c r="AW97" i="7"/>
  <c r="AX97" i="7" s="1"/>
  <c r="AW98" i="7"/>
  <c r="AX98" i="7" s="1"/>
  <c r="AW197" i="7"/>
  <c r="AW155" i="7"/>
  <c r="AW145" i="7"/>
  <c r="AX145" i="7" s="1"/>
  <c r="AW146" i="7"/>
  <c r="AX146" i="7" s="1"/>
  <c r="AW143" i="7"/>
  <c r="AX143" i="7" s="1"/>
  <c r="AW154" i="7"/>
  <c r="AW144" i="7"/>
  <c r="AX144" i="7" s="1"/>
  <c r="AY35" i="7"/>
  <c r="AZ35" i="7" s="1"/>
  <c r="AY43" i="7"/>
  <c r="AZ43" i="7" s="1"/>
  <c r="AY36" i="7"/>
  <c r="AZ36" i="7" s="1"/>
  <c r="AY44" i="7"/>
  <c r="AZ44" i="7" s="1"/>
  <c r="AY29" i="7"/>
  <c r="AY37" i="7"/>
  <c r="AZ37" i="7" s="1"/>
  <c r="AY33" i="7"/>
  <c r="AZ33" i="7" s="1"/>
  <c r="AY41" i="7"/>
  <c r="AZ41" i="7" s="1"/>
  <c r="AY42" i="7"/>
  <c r="AZ42" i="7" s="1"/>
  <c r="AY30" i="7"/>
  <c r="AY38" i="7"/>
  <c r="AZ38" i="7" s="1"/>
  <c r="AY31" i="7"/>
  <c r="AY34" i="7"/>
  <c r="AZ34" i="7" s="1"/>
  <c r="AY40" i="7"/>
  <c r="AZ40" i="7" s="1"/>
  <c r="AY32" i="7"/>
  <c r="AY39" i="7"/>
  <c r="AZ39" i="7" s="1"/>
  <c r="AY59" i="7"/>
  <c r="AZ59" i="7" s="1"/>
  <c r="AY57" i="7"/>
  <c r="AZ57" i="7" s="1"/>
  <c r="AY58" i="7"/>
  <c r="AZ58" i="7" s="1"/>
  <c r="AY51" i="7"/>
  <c r="AZ51" i="7" s="1"/>
  <c r="AY52" i="7"/>
  <c r="AZ52" i="7" s="1"/>
  <c r="AY45" i="7"/>
  <c r="AZ45" i="7" s="1"/>
  <c r="AY173" i="7"/>
  <c r="AY49" i="7"/>
  <c r="AZ49" i="7" s="1"/>
  <c r="AY174" i="7"/>
  <c r="AY48" i="7"/>
  <c r="AZ48" i="7" s="1"/>
  <c r="AY46" i="7"/>
  <c r="AZ46" i="7" s="1"/>
  <c r="AY47" i="7"/>
  <c r="AZ47" i="7" s="1"/>
  <c r="AY50" i="7"/>
  <c r="AZ50" i="7" s="1"/>
  <c r="AY67" i="7"/>
  <c r="AZ67" i="7" s="1"/>
  <c r="AY60" i="7"/>
  <c r="AZ60" i="7" s="1"/>
  <c r="AY125" i="7"/>
  <c r="AZ125" i="7" s="1"/>
  <c r="AY65" i="7"/>
  <c r="AZ65" i="7" s="1"/>
  <c r="AY137" i="7"/>
  <c r="AZ137" i="7" s="1"/>
  <c r="AY66" i="7"/>
  <c r="AZ66" i="7" s="1"/>
  <c r="AY94" i="7"/>
  <c r="AZ94" i="7" s="1"/>
  <c r="AY126" i="7"/>
  <c r="AZ126" i="7" s="1"/>
  <c r="AY62" i="7"/>
  <c r="AZ62" i="7" s="1"/>
  <c r="AY175" i="7"/>
  <c r="AY63" i="7"/>
  <c r="AZ63" i="7" s="1"/>
  <c r="AY64" i="7"/>
  <c r="AZ64" i="7" s="1"/>
  <c r="AY135" i="7"/>
  <c r="AZ135" i="7" s="1"/>
  <c r="AY136" i="7"/>
  <c r="AZ136" i="7" s="1"/>
  <c r="AY138" i="7"/>
  <c r="AZ138" i="7" s="1"/>
  <c r="AW168" i="7"/>
  <c r="AX168" i="7" s="1"/>
  <c r="AW169" i="7"/>
  <c r="AX169" i="7" s="1"/>
  <c r="AW158" i="7"/>
  <c r="AX158" i="7" s="1"/>
  <c r="AW159" i="7"/>
  <c r="AX159" i="7" s="1"/>
  <c r="AW93" i="7"/>
  <c r="AX93" i="7" s="1"/>
  <c r="AW92" i="7"/>
  <c r="AX92" i="7" s="1"/>
  <c r="AW157" i="7"/>
  <c r="AX157" i="7" s="1"/>
  <c r="AW156" i="7"/>
  <c r="AX156" i="7" s="1"/>
  <c r="W41" i="13"/>
  <c r="X41" i="13" s="1"/>
  <c r="AY165" i="7"/>
  <c r="AZ165" i="7" s="1"/>
  <c r="AY105" i="7"/>
  <c r="AY129" i="7"/>
  <c r="AZ129" i="7" s="1"/>
  <c r="AY103" i="7"/>
  <c r="AY104" i="7"/>
  <c r="AZ104" i="7" s="1"/>
  <c r="AY127" i="7"/>
  <c r="AZ127" i="7" s="1"/>
  <c r="AY128" i="7"/>
  <c r="AZ128" i="7" s="1"/>
  <c r="AY121" i="7"/>
  <c r="AZ121" i="7" s="1"/>
  <c r="BI121" i="7" s="1"/>
  <c r="BM121" i="7" s="1"/>
  <c r="AY120" i="7"/>
  <c r="AZ120" i="7" s="1"/>
  <c r="AY68" i="7"/>
  <c r="AZ68" i="7" s="1"/>
  <c r="AY172" i="7"/>
  <c r="AY69" i="7"/>
  <c r="AZ69" i="7" s="1"/>
  <c r="AY73" i="7"/>
  <c r="AZ73" i="7" s="1"/>
  <c r="AY81" i="7"/>
  <c r="AZ81" i="7" s="1"/>
  <c r="AY171" i="7"/>
  <c r="AY74" i="7"/>
  <c r="AZ74" i="7" s="1"/>
  <c r="AY72" i="7"/>
  <c r="AZ72" i="7" s="1"/>
  <c r="AY70" i="7"/>
  <c r="AZ70" i="7" s="1"/>
  <c r="AY71" i="7"/>
  <c r="AZ71" i="7" s="1"/>
  <c r="AY3" i="7"/>
  <c r="AZ3" i="7" s="1"/>
  <c r="AY11" i="7"/>
  <c r="AZ11" i="7" s="1"/>
  <c r="BI11" i="7" s="1"/>
  <c r="BM11" i="7" s="1"/>
  <c r="AY4" i="7"/>
  <c r="AZ4" i="7" s="1"/>
  <c r="AY12" i="7"/>
  <c r="AZ12" i="7" s="1"/>
  <c r="AY188" i="7"/>
  <c r="AZ188" i="7" s="1"/>
  <c r="AY5" i="7"/>
  <c r="AZ5" i="7" s="1"/>
  <c r="AY13" i="7"/>
  <c r="AZ13" i="7" s="1"/>
  <c r="AY189" i="7"/>
  <c r="AZ189" i="7" s="1"/>
  <c r="AY9" i="7"/>
  <c r="AZ9" i="7" s="1"/>
  <c r="AY10" i="7"/>
  <c r="AZ10" i="7" s="1"/>
  <c r="AY190" i="7"/>
  <c r="AZ190" i="7" s="1"/>
  <c r="AY6" i="7"/>
  <c r="AZ6" i="7" s="1"/>
  <c r="AY7" i="7"/>
  <c r="AZ7" i="7" s="1"/>
  <c r="AY14" i="7"/>
  <c r="AZ14" i="7" s="1"/>
  <c r="AY191" i="7"/>
  <c r="AZ191" i="7" s="1"/>
  <c r="AY2" i="7"/>
  <c r="AZ2" i="7" s="1"/>
  <c r="AY8" i="7"/>
  <c r="AZ8" i="7" s="1"/>
  <c r="BJ165" i="7"/>
  <c r="BI161" i="7"/>
  <c r="BI159" i="7"/>
  <c r="BJ188" i="7"/>
  <c r="BI164" i="7"/>
  <c r="BI160" i="7"/>
  <c r="BJ185" i="7"/>
  <c r="BJ183" i="7"/>
  <c r="BJ71" i="7"/>
  <c r="BJ135" i="7"/>
  <c r="BJ69" i="7"/>
  <c r="BJ137" i="7"/>
  <c r="BJ35" i="7"/>
  <c r="BJ4" i="7"/>
  <c r="BI157" i="7"/>
  <c r="BJ177" i="7"/>
  <c r="BJ179" i="7"/>
  <c r="BI106" i="7"/>
  <c r="BI124" i="7"/>
  <c r="BI107" i="7"/>
  <c r="BI99" i="7"/>
  <c r="BI145" i="7"/>
  <c r="BI22" i="7"/>
  <c r="BI55" i="7"/>
  <c r="BI168" i="7"/>
  <c r="BI15" i="7"/>
  <c r="BI97" i="7"/>
  <c r="BJ184" i="7"/>
  <c r="BI17" i="7"/>
  <c r="BJ60" i="7"/>
  <c r="BJ94" i="7"/>
  <c r="BJ180" i="7"/>
  <c r="BJ10" i="7"/>
  <c r="BJ189" i="7"/>
  <c r="BJ186" i="7"/>
  <c r="BJ5" i="7"/>
  <c r="BI114" i="7"/>
  <c r="BI16" i="7"/>
  <c r="BJ70" i="7"/>
  <c r="BI85" i="7"/>
  <c r="BJ127" i="7"/>
  <c r="BI82" i="7"/>
  <c r="BJ12" i="7"/>
  <c r="BI119" i="7"/>
  <c r="BJ181" i="7"/>
  <c r="BI56" i="7"/>
  <c r="BJ125" i="7"/>
  <c r="BJ74" i="7"/>
  <c r="BJ128" i="7"/>
  <c r="BJ147" i="7"/>
  <c r="BJ13" i="7"/>
  <c r="BI156" i="7"/>
  <c r="BI117" i="7"/>
  <c r="BJ182" i="7"/>
  <c r="BI96" i="7"/>
  <c r="BI23" i="7"/>
  <c r="BI54" i="7"/>
  <c r="BI169" i="7"/>
  <c r="BI108" i="7"/>
  <c r="BI140" i="7"/>
  <c r="BJ51" i="7"/>
  <c r="BJ58" i="7"/>
  <c r="BI92" i="7"/>
  <c r="BJ138" i="7"/>
  <c r="BJ64" i="7"/>
  <c r="BJ36" i="7"/>
  <c r="BJ73" i="7"/>
  <c r="BJ50" i="7"/>
  <c r="BJ190" i="7"/>
  <c r="BI93" i="7"/>
  <c r="BJ129" i="7"/>
  <c r="BI115" i="7"/>
  <c r="BI158" i="7"/>
  <c r="BJ126" i="7"/>
  <c r="BJ100" i="7"/>
  <c r="BJ176" i="7"/>
  <c r="BI141" i="7"/>
  <c r="BI123" i="7"/>
  <c r="BI139" i="7"/>
  <c r="BJ47" i="7"/>
  <c r="BI167" i="7"/>
  <c r="BI163" i="7"/>
  <c r="BI146" i="7"/>
  <c r="BJ149" i="7"/>
  <c r="BJ49" i="7"/>
  <c r="BJ66" i="7"/>
  <c r="BJ14" i="7"/>
  <c r="BJ6" i="7"/>
  <c r="BJ65" i="7"/>
  <c r="BJ111" i="7"/>
  <c r="BI166" i="7"/>
  <c r="BJ187" i="7"/>
  <c r="BI84" i="7"/>
  <c r="BI18" i="7"/>
  <c r="BJ81" i="7"/>
  <c r="BJ91" i="7"/>
  <c r="BJ28" i="7"/>
  <c r="BJ90" i="7"/>
  <c r="BJ148" i="7"/>
  <c r="BJ150" i="7"/>
  <c r="BJ59" i="7"/>
  <c r="BJ45" i="7"/>
  <c r="BJ67" i="7"/>
  <c r="BJ110" i="7"/>
  <c r="BJ136" i="7"/>
  <c r="BJ109" i="7"/>
  <c r="BJ57" i="7"/>
  <c r="BJ68" i="7"/>
  <c r="BJ52" i="7"/>
  <c r="BJ191" i="7"/>
  <c r="BI116" i="7"/>
  <c r="BJ178" i="7"/>
  <c r="BI142" i="7"/>
  <c r="BI162" i="7"/>
  <c r="BI143" i="7"/>
  <c r="BI98" i="7"/>
  <c r="BI122" i="7"/>
  <c r="BJ63" i="7"/>
  <c r="BJ62" i="7"/>
  <c r="BJ72" i="7"/>
  <c r="BI83" i="7"/>
  <c r="BJ120" i="7"/>
  <c r="BJ7" i="7"/>
  <c r="BJ46" i="7"/>
  <c r="BI144" i="7"/>
  <c r="BI19" i="7"/>
  <c r="BJ101" i="7"/>
  <c r="BJ88" i="7"/>
  <c r="BI130" i="7"/>
  <c r="BJ48" i="7"/>
  <c r="BJ89" i="7"/>
  <c r="BI61" i="7"/>
  <c r="AD76" i="22"/>
  <c r="AE76" i="22" s="1"/>
  <c r="AD75" i="22"/>
  <c r="AE75" i="22" s="1"/>
  <c r="AD74" i="22"/>
  <c r="AE74" i="22" s="1"/>
  <c r="AD73" i="22"/>
  <c r="AE73" i="22" s="1"/>
  <c r="AD13" i="22"/>
  <c r="AE13" i="22" s="1"/>
  <c r="AD14" i="22"/>
  <c r="AE14" i="22" s="1"/>
  <c r="AD2" i="22"/>
  <c r="AE2" i="22" s="1"/>
  <c r="AD9" i="22"/>
  <c r="AE9" i="22" s="1"/>
  <c r="AD10" i="22"/>
  <c r="AE10" i="22" s="1"/>
  <c r="AD8" i="22"/>
  <c r="AE8" i="22" s="1"/>
  <c r="AD3" i="22"/>
  <c r="AE3" i="22" s="1"/>
  <c r="AD12" i="22"/>
  <c r="AE12" i="22" s="1"/>
  <c r="AD7" i="22"/>
  <c r="AE7" i="22" s="1"/>
  <c r="AD4" i="22"/>
  <c r="AE4" i="22" s="1"/>
  <c r="AD5" i="22"/>
  <c r="AE5" i="22" s="1"/>
  <c r="AD11" i="22"/>
  <c r="AE11" i="22" s="1"/>
  <c r="AD6" i="22"/>
  <c r="AE6" i="22" s="1"/>
  <c r="C10" i="22"/>
  <c r="A11" i="22"/>
  <c r="AB54" i="22"/>
  <c r="AC54" i="22" s="1"/>
  <c r="AB55" i="22"/>
  <c r="AC55" i="22" s="1"/>
  <c r="AB53" i="22"/>
  <c r="AC53" i="22" s="1"/>
  <c r="AB56" i="22"/>
  <c r="AC56" i="22" s="1"/>
  <c r="AB21" i="22"/>
  <c r="AC21" i="22" s="1"/>
  <c r="AB23" i="22"/>
  <c r="AC23" i="22" s="1"/>
  <c r="AB25" i="22"/>
  <c r="AC25" i="22" s="1"/>
  <c r="AB15" i="22"/>
  <c r="AC15" i="22" s="1"/>
  <c r="Y4" i="21" s="1"/>
  <c r="AB24" i="22"/>
  <c r="AC24" i="22" s="1"/>
  <c r="AB26" i="22"/>
  <c r="AC26" i="22" s="1"/>
  <c r="AB20" i="22"/>
  <c r="AC20" i="22" s="1"/>
  <c r="AB27" i="22"/>
  <c r="AC27" i="22" s="1"/>
  <c r="AB19" i="22"/>
  <c r="AC19" i="22" s="1"/>
  <c r="AB17" i="22"/>
  <c r="AC17" i="22" s="1"/>
  <c r="AB18" i="22"/>
  <c r="AC18" i="22" s="1"/>
  <c r="AB22" i="22"/>
  <c r="AC22" i="22" s="1"/>
  <c r="AB16" i="22"/>
  <c r="AC16" i="22" s="1"/>
  <c r="AD72" i="22"/>
  <c r="AE72" i="22" s="1"/>
  <c r="AD71" i="22"/>
  <c r="AE71" i="22" s="1"/>
  <c r="AD70" i="22"/>
  <c r="AE70" i="22" s="1"/>
  <c r="AD69" i="22"/>
  <c r="AE69" i="22" s="1"/>
  <c r="AD68" i="22"/>
  <c r="AE68" i="22" s="1"/>
  <c r="AD67" i="22"/>
  <c r="AE67" i="22" s="1"/>
  <c r="AD66" i="22"/>
  <c r="AE66" i="22" s="1"/>
  <c r="AD65" i="22"/>
  <c r="AE65" i="22" s="1"/>
  <c r="AD64" i="22"/>
  <c r="AE64" i="22" s="1"/>
  <c r="AD63" i="22"/>
  <c r="AE63" i="22" s="1"/>
  <c r="AD62" i="22"/>
  <c r="AE62" i="22" s="1"/>
  <c r="AD61" i="22"/>
  <c r="AE61" i="22" s="1"/>
  <c r="AD60" i="22"/>
  <c r="AE60" i="22" s="1"/>
  <c r="AD51" i="22"/>
  <c r="AE51" i="22" s="1"/>
  <c r="AD47" i="22"/>
  <c r="AE47" i="22" s="1"/>
  <c r="AD52" i="22"/>
  <c r="AE52" i="22" s="1"/>
  <c r="AD48" i="22"/>
  <c r="AE48" i="22" s="1"/>
  <c r="AD49" i="22"/>
  <c r="AE49" i="22" s="1"/>
  <c r="AD45" i="22"/>
  <c r="AE45" i="22" s="1"/>
  <c r="AD46" i="22"/>
  <c r="AE46" i="22" s="1"/>
  <c r="AD50" i="22"/>
  <c r="AE50" i="22" s="1"/>
  <c r="AD44" i="22"/>
  <c r="AE44" i="22" s="1"/>
  <c r="AD43" i="22"/>
  <c r="AE43" i="22" s="1"/>
  <c r="AD42" i="22"/>
  <c r="AE42" i="22" s="1"/>
  <c r="AD41" i="22"/>
  <c r="AE41" i="22" s="1"/>
  <c r="AD40" i="22"/>
  <c r="AE40" i="22" s="1"/>
  <c r="AD39" i="22"/>
  <c r="AE39" i="22" s="1"/>
  <c r="AD38" i="22"/>
  <c r="AE38" i="22" s="1"/>
  <c r="AD37" i="22"/>
  <c r="AE37" i="22" s="1"/>
  <c r="AD34" i="22"/>
  <c r="AE34" i="22" s="1"/>
  <c r="AD32" i="22"/>
  <c r="AE32" i="22" s="1"/>
  <c r="AD29" i="22"/>
  <c r="AE29" i="22" s="1"/>
  <c r="AD31" i="22"/>
  <c r="AE31" i="22" s="1"/>
  <c r="AD36" i="22"/>
  <c r="AE36" i="22" s="1"/>
  <c r="AD33" i="22"/>
  <c r="AE33" i="22" s="1"/>
  <c r="AD30" i="22"/>
  <c r="AE30" i="22" s="1"/>
  <c r="AD35" i="22"/>
  <c r="AE35" i="22" s="1"/>
  <c r="AD58" i="22"/>
  <c r="AE58" i="22" s="1"/>
  <c r="AD59" i="22"/>
  <c r="AE59" i="22" s="1"/>
  <c r="AD57" i="22"/>
  <c r="AE57" i="22" s="1"/>
  <c r="G4" i="21"/>
  <c r="AD173" i="20"/>
  <c r="AE173" i="20" s="1"/>
  <c r="J4" i="21"/>
  <c r="AB166" i="20"/>
  <c r="AC166" i="20" s="1"/>
  <c r="AB165" i="20"/>
  <c r="AC165" i="20" s="1"/>
  <c r="F74" i="10"/>
  <c r="AD172" i="20"/>
  <c r="AE172" i="20" s="1"/>
  <c r="AD52" i="20"/>
  <c r="AE52" i="20" s="1"/>
  <c r="AD51" i="20"/>
  <c r="AE51" i="20" s="1"/>
  <c r="AD50" i="20"/>
  <c r="AE50" i="20" s="1"/>
  <c r="AD49" i="20"/>
  <c r="AE49" i="20" s="1"/>
  <c r="AD48" i="20"/>
  <c r="AE48" i="20" s="1"/>
  <c r="AD47" i="20"/>
  <c r="AE47" i="20" s="1"/>
  <c r="AD46" i="20"/>
  <c r="AE46" i="20" s="1"/>
  <c r="AD45" i="20"/>
  <c r="AE45" i="20" s="1"/>
  <c r="AD174" i="20"/>
  <c r="AE174" i="20" s="1"/>
  <c r="AD136" i="20"/>
  <c r="AE136" i="20" s="1"/>
  <c r="AD124" i="20"/>
  <c r="AE124" i="20" s="1"/>
  <c r="AD123" i="20"/>
  <c r="AE123" i="20" s="1"/>
  <c r="AD133" i="20"/>
  <c r="AE133" i="20" s="1"/>
  <c r="AD134" i="20"/>
  <c r="AE134" i="20" s="1"/>
  <c r="AD135" i="20"/>
  <c r="AE135" i="20" s="1"/>
  <c r="AD67" i="20"/>
  <c r="AE67" i="20" s="1"/>
  <c r="AD66" i="20"/>
  <c r="AE66" i="20" s="1"/>
  <c r="AD65" i="20"/>
  <c r="AE65" i="20" s="1"/>
  <c r="AD64" i="20"/>
  <c r="AE64" i="20" s="1"/>
  <c r="AD63" i="20"/>
  <c r="AE63" i="20" s="1"/>
  <c r="AD62" i="20"/>
  <c r="AE62" i="20" s="1"/>
  <c r="AD93" i="20"/>
  <c r="AE93" i="20" s="1"/>
  <c r="AD60" i="20"/>
  <c r="AE60" i="20" s="1"/>
  <c r="AB55" i="20"/>
  <c r="AC55" i="20" s="1"/>
  <c r="AB56" i="20"/>
  <c r="AC56" i="20" s="1"/>
  <c r="AB54" i="20"/>
  <c r="AC54" i="20" s="1"/>
  <c r="AB53" i="20"/>
  <c r="AC53" i="20" s="1"/>
  <c r="A14" i="20"/>
  <c r="C13" i="20"/>
  <c r="AB168" i="20"/>
  <c r="AC168" i="20" s="1"/>
  <c r="AB167" i="20"/>
  <c r="AC167" i="20" s="1"/>
  <c r="AB91" i="20"/>
  <c r="AC91" i="20" s="1"/>
  <c r="AB92" i="20"/>
  <c r="AC92" i="20" s="1"/>
  <c r="G30" i="10"/>
  <c r="AB155" i="20"/>
  <c r="AC155" i="20" s="1"/>
  <c r="AB156" i="20"/>
  <c r="AC156" i="20" s="1"/>
  <c r="AB61" i="20"/>
  <c r="AC61" i="20" s="1"/>
  <c r="G90" i="10"/>
  <c r="AD164" i="20"/>
  <c r="AE164" i="20" s="1"/>
  <c r="AD125" i="20"/>
  <c r="AE125" i="20" s="1"/>
  <c r="AD126" i="20"/>
  <c r="AE126" i="20" s="1"/>
  <c r="AD127" i="20"/>
  <c r="AE127" i="20" s="1"/>
  <c r="AD103" i="20"/>
  <c r="AE103" i="20" s="1"/>
  <c r="AD102" i="20"/>
  <c r="AE102" i="20" s="1"/>
  <c r="AD104" i="20"/>
  <c r="AE104" i="20" s="1"/>
  <c r="G36" i="10"/>
  <c r="AD119" i="20"/>
  <c r="AE119" i="20" s="1"/>
  <c r="AD170" i="20"/>
  <c r="AE170" i="20" s="1"/>
  <c r="AD171" i="20"/>
  <c r="AE171" i="20" s="1"/>
  <c r="AD68" i="20"/>
  <c r="AE68" i="20" s="1"/>
  <c r="AD69" i="20"/>
  <c r="AE69" i="20" s="1"/>
  <c r="AD70" i="20"/>
  <c r="AE70" i="20" s="1"/>
  <c r="AD71" i="20"/>
  <c r="AE71" i="20" s="1"/>
  <c r="AD80" i="20"/>
  <c r="AE80" i="20" s="1"/>
  <c r="AD72" i="20"/>
  <c r="AE72" i="20" s="1"/>
  <c r="AD73" i="20"/>
  <c r="AE73" i="20" s="1"/>
  <c r="AD74" i="20"/>
  <c r="AE74" i="20" s="1"/>
  <c r="G22" i="10"/>
  <c r="AD190" i="20"/>
  <c r="AE190" i="20" s="1"/>
  <c r="AD189" i="20"/>
  <c r="AE189" i="20" s="1"/>
  <c r="AD188" i="20"/>
  <c r="AE188" i="20" s="1"/>
  <c r="AD187" i="20"/>
  <c r="AE187" i="20" s="1"/>
  <c r="AD8" i="20"/>
  <c r="AE8" i="20" s="1"/>
  <c r="AD13" i="20"/>
  <c r="AE13" i="20" s="1"/>
  <c r="AD2" i="20"/>
  <c r="AE2" i="20" s="1"/>
  <c r="AD4" i="20"/>
  <c r="AE4" i="20" s="1"/>
  <c r="AD14" i="20"/>
  <c r="AE14" i="20" s="1"/>
  <c r="AD11" i="20"/>
  <c r="AE11" i="20" s="1"/>
  <c r="AD3" i="20"/>
  <c r="AE3" i="20" s="1"/>
  <c r="AD5" i="20"/>
  <c r="AE5" i="20" s="1"/>
  <c r="AD10" i="20"/>
  <c r="AE10" i="20" s="1"/>
  <c r="AD12" i="20"/>
  <c r="AE12" i="20" s="1"/>
  <c r="AD7" i="20"/>
  <c r="AE7" i="20" s="1"/>
  <c r="AD9" i="20"/>
  <c r="AE9" i="20" s="1"/>
  <c r="AD6" i="20"/>
  <c r="AE6" i="20" s="1"/>
  <c r="G43" i="10"/>
  <c r="AB158" i="20"/>
  <c r="AC158" i="20" s="1"/>
  <c r="AB157" i="20"/>
  <c r="AC157" i="20" s="1"/>
  <c r="G31" i="10"/>
  <c r="AD87" i="20"/>
  <c r="AE87" i="20" s="1"/>
  <c r="AB160" i="20"/>
  <c r="AC160" i="20" s="1"/>
  <c r="AB117" i="20"/>
  <c r="AC117" i="20" s="1"/>
  <c r="AB118" i="20"/>
  <c r="AC118" i="20" s="1"/>
  <c r="AB113" i="20"/>
  <c r="AC113" i="20" s="1"/>
  <c r="AB159" i="20"/>
  <c r="AC159" i="20" s="1"/>
  <c r="AB114" i="20"/>
  <c r="AC114" i="20" s="1"/>
  <c r="AB116" i="20"/>
  <c r="AC116" i="20" s="1"/>
  <c r="AB115" i="20"/>
  <c r="AC115" i="20" s="1"/>
  <c r="AD99" i="20"/>
  <c r="AE99" i="20" s="1"/>
  <c r="AD100" i="20"/>
  <c r="AE100" i="20" s="1"/>
  <c r="AB163" i="20"/>
  <c r="AC163" i="20" s="1"/>
  <c r="AB162" i="20"/>
  <c r="AC162" i="20" s="1"/>
  <c r="AB161" i="20"/>
  <c r="AC161" i="20" s="1"/>
  <c r="AB107" i="20"/>
  <c r="AC107" i="20" s="1"/>
  <c r="AB105" i="20"/>
  <c r="AC105" i="20" s="1"/>
  <c r="AB128" i="20"/>
  <c r="AC128" i="20" s="1"/>
  <c r="AB137" i="20"/>
  <c r="AC137" i="20" s="1"/>
  <c r="AB138" i="20"/>
  <c r="AC138" i="20" s="1"/>
  <c r="AB139" i="20"/>
  <c r="AC139" i="20" s="1"/>
  <c r="AB120" i="20"/>
  <c r="AC120" i="20" s="1"/>
  <c r="AB140" i="20"/>
  <c r="AC140" i="20" s="1"/>
  <c r="AB169" i="20"/>
  <c r="AC169" i="20" s="1"/>
  <c r="AB106" i="20"/>
  <c r="AC106" i="20" s="1"/>
  <c r="AB122" i="20"/>
  <c r="AC122" i="20" s="1"/>
  <c r="AB95" i="20"/>
  <c r="AC95" i="20" s="1"/>
  <c r="AB94" i="20"/>
  <c r="AC94" i="20" s="1"/>
  <c r="AB121" i="20"/>
  <c r="AC121" i="20" s="1"/>
  <c r="G73" i="10"/>
  <c r="AD146" i="20"/>
  <c r="AE146" i="20" s="1"/>
  <c r="AD148" i="20"/>
  <c r="AE148" i="20" s="1"/>
  <c r="AD109" i="20"/>
  <c r="AE109" i="20" s="1"/>
  <c r="AD112" i="20"/>
  <c r="AE112" i="20" s="1"/>
  <c r="AD110" i="20"/>
  <c r="AE110" i="20" s="1"/>
  <c r="AD111" i="20"/>
  <c r="AE111" i="20" s="1"/>
  <c r="AD147" i="20"/>
  <c r="AE147" i="20" s="1"/>
  <c r="AD145" i="20"/>
  <c r="AE145" i="20" s="1"/>
  <c r="AD88" i="20"/>
  <c r="AE88" i="20" s="1"/>
  <c r="AD89" i="20"/>
  <c r="AE89" i="20" s="1"/>
  <c r="AD108" i="20"/>
  <c r="AE108" i="20" s="1"/>
  <c r="AD90" i="20"/>
  <c r="AE90" i="20" s="1"/>
  <c r="F45" i="10"/>
  <c r="AD186" i="20"/>
  <c r="AE186" i="20" s="1"/>
  <c r="AD185" i="20"/>
  <c r="AE185" i="20" s="1"/>
  <c r="AD184" i="20"/>
  <c r="AE184" i="20" s="1"/>
  <c r="AD183" i="20"/>
  <c r="AE183" i="20" s="1"/>
  <c r="AD182" i="20"/>
  <c r="AE182" i="20" s="1"/>
  <c r="AD181" i="20"/>
  <c r="AE181" i="20" s="1"/>
  <c r="AD180" i="20"/>
  <c r="AE180" i="20" s="1"/>
  <c r="AD179" i="20"/>
  <c r="AE179" i="20" s="1"/>
  <c r="AD178" i="20"/>
  <c r="AE178" i="20" s="1"/>
  <c r="AD177" i="20"/>
  <c r="AE177" i="20" s="1"/>
  <c r="AD176" i="20"/>
  <c r="AE176" i="20" s="1"/>
  <c r="AD175" i="20"/>
  <c r="AE175" i="20" s="1"/>
  <c r="AB27" i="20"/>
  <c r="AC27" i="20" s="1"/>
  <c r="AB19" i="20"/>
  <c r="AC19" i="20" s="1"/>
  <c r="AB18" i="20"/>
  <c r="AC18" i="20" s="1"/>
  <c r="AB21" i="20"/>
  <c r="AC21" i="20" s="1"/>
  <c r="AB23" i="20"/>
  <c r="AC23" i="20" s="1"/>
  <c r="AB25" i="20"/>
  <c r="AC25" i="20" s="1"/>
  <c r="AB22" i="20"/>
  <c r="AC22" i="20" s="1"/>
  <c r="AB17" i="20"/>
  <c r="AC17" i="20" s="1"/>
  <c r="AB20" i="20"/>
  <c r="AC20" i="20" s="1"/>
  <c r="AB16" i="20"/>
  <c r="AC16" i="20" s="1"/>
  <c r="AB26" i="20"/>
  <c r="AC26" i="20" s="1"/>
  <c r="AB15" i="20"/>
  <c r="AC15" i="20" s="1"/>
  <c r="AB24" i="20"/>
  <c r="AC24" i="20" s="1"/>
  <c r="G44" i="10"/>
  <c r="AD28" i="20"/>
  <c r="AE28" i="20" s="1"/>
  <c r="AB81" i="20"/>
  <c r="AC81" i="20" s="1"/>
  <c r="AB82" i="20"/>
  <c r="AC82" i="20" s="1"/>
  <c r="AB83" i="20"/>
  <c r="AC83" i="20" s="1"/>
  <c r="AB84" i="20"/>
  <c r="AC84" i="20" s="1"/>
  <c r="AB98" i="20"/>
  <c r="AC98" i="20" s="1"/>
  <c r="AB144" i="20"/>
  <c r="AC144" i="20" s="1"/>
  <c r="AB142" i="20"/>
  <c r="AC142" i="20" s="1"/>
  <c r="AB143" i="20"/>
  <c r="AC143" i="20" s="1"/>
  <c r="AB154" i="20"/>
  <c r="AC154" i="20" s="1"/>
  <c r="AB141" i="20"/>
  <c r="AC141" i="20" s="1"/>
  <c r="AB96" i="20"/>
  <c r="AC96" i="20" s="1"/>
  <c r="AB97" i="20"/>
  <c r="AC97" i="20" s="1"/>
  <c r="G86" i="10"/>
  <c r="AD44" i="20"/>
  <c r="AE44" i="20" s="1"/>
  <c r="AD43" i="20"/>
  <c r="AE43" i="20" s="1"/>
  <c r="AD40" i="20"/>
  <c r="AE40" i="20" s="1"/>
  <c r="AD41" i="20"/>
  <c r="AE41" i="20" s="1"/>
  <c r="AD42" i="20"/>
  <c r="AE42" i="20" s="1"/>
  <c r="AD35" i="20"/>
  <c r="AE35" i="20" s="1"/>
  <c r="AD34" i="20"/>
  <c r="AE34" i="20" s="1"/>
  <c r="AD33" i="20"/>
  <c r="AE33" i="20" s="1"/>
  <c r="AD32" i="20"/>
  <c r="AE32" i="20" s="1"/>
  <c r="AD37" i="20"/>
  <c r="AE37" i="20" s="1"/>
  <c r="AD36" i="20"/>
  <c r="AE36" i="20" s="1"/>
  <c r="AD31" i="20"/>
  <c r="AE31" i="20" s="1"/>
  <c r="AD38" i="20"/>
  <c r="AE38" i="20" s="1"/>
  <c r="AD30" i="20"/>
  <c r="AE30" i="20" s="1"/>
  <c r="AD39" i="20"/>
  <c r="AE39" i="20" s="1"/>
  <c r="AD29" i="20"/>
  <c r="AE29" i="20" s="1"/>
  <c r="D100" i="10"/>
  <c r="F100" i="10" s="1"/>
  <c r="AD57" i="20"/>
  <c r="AE57" i="20" s="1"/>
  <c r="AD58" i="20"/>
  <c r="AE58" i="20" s="1"/>
  <c r="AD59" i="20"/>
  <c r="AE59" i="20" s="1"/>
  <c r="F89" i="10"/>
  <c r="F4" i="10"/>
  <c r="G87" i="10"/>
  <c r="G49" i="10"/>
  <c r="F23" i="10"/>
  <c r="F87" i="10"/>
  <c r="F56" i="10"/>
  <c r="Z51" i="13"/>
  <c r="AA51" i="13" s="1"/>
  <c r="Z50" i="13"/>
  <c r="AA50" i="13" s="1"/>
  <c r="G60" i="10"/>
  <c r="G34" i="10"/>
  <c r="F31" i="10"/>
  <c r="G62" i="10"/>
  <c r="F72" i="10"/>
  <c r="G82" i="10"/>
  <c r="F96" i="10"/>
  <c r="F6" i="10"/>
  <c r="F37" i="10"/>
  <c r="G92" i="10"/>
  <c r="G57" i="10"/>
  <c r="F21" i="10"/>
  <c r="F94" i="10"/>
  <c r="G94" i="10"/>
  <c r="G79" i="10"/>
  <c r="F18" i="10"/>
  <c r="G10" i="10"/>
  <c r="G70" i="10"/>
  <c r="G26" i="10"/>
  <c r="G13" i="10"/>
  <c r="F15" i="10"/>
  <c r="F42" i="10"/>
  <c r="F35" i="10"/>
  <c r="G35" i="10"/>
  <c r="G69" i="10"/>
  <c r="F69" i="10"/>
  <c r="G41" i="10"/>
  <c r="F41" i="10"/>
  <c r="G85" i="10"/>
  <c r="F85" i="10"/>
  <c r="F58" i="10"/>
  <c r="G58" i="10"/>
  <c r="G40" i="10"/>
  <c r="F40" i="10"/>
  <c r="F19" i="10"/>
  <c r="F82" i="10"/>
  <c r="G68" i="10"/>
  <c r="G27" i="10"/>
  <c r="F29" i="10"/>
  <c r="G8" i="10"/>
  <c r="F63" i="10"/>
  <c r="G63" i="10"/>
  <c r="F91" i="10"/>
  <c r="G91" i="10"/>
  <c r="G78" i="10"/>
  <c r="G80" i="10"/>
  <c r="G38" i="10"/>
  <c r="F81" i="10"/>
  <c r="G55" i="10"/>
  <c r="G77" i="10"/>
  <c r="F77" i="10"/>
  <c r="G99" i="10"/>
  <c r="G46" i="10"/>
  <c r="F7" i="10"/>
  <c r="G39" i="10"/>
  <c r="F39" i="10"/>
  <c r="F3" i="10"/>
  <c r="G93" i="10"/>
  <c r="G11" i="10"/>
  <c r="F11" i="10"/>
  <c r="G51" i="10"/>
  <c r="F51" i="10"/>
  <c r="G64" i="10"/>
  <c r="F64" i="10"/>
  <c r="G52" i="10"/>
  <c r="G75" i="10"/>
  <c r="G61" i="10"/>
  <c r="G98" i="10"/>
  <c r="G67" i="10"/>
  <c r="F12" i="10"/>
  <c r="G66" i="10"/>
  <c r="F73" i="10"/>
  <c r="F48" i="10"/>
  <c r="G48" i="10"/>
  <c r="G16" i="10"/>
  <c r="F16" i="10"/>
  <c r="G54" i="10"/>
  <c r="F54" i="10"/>
  <c r="F9" i="10"/>
  <c r="G9" i="10"/>
  <c r="F71" i="10"/>
  <c r="G84" i="10"/>
  <c r="F84" i="10"/>
  <c r="F59" i="10"/>
  <c r="G59" i="10"/>
  <c r="G32" i="10"/>
  <c r="F32" i="10"/>
  <c r="F14" i="10"/>
  <c r="G14" i="10"/>
  <c r="F88" i="10"/>
  <c r="G33" i="10"/>
  <c r="F33" i="10"/>
  <c r="F90" i="10"/>
  <c r="F65" i="10"/>
  <c r="G65" i="10"/>
  <c r="G47" i="10"/>
  <c r="F47" i="10"/>
  <c r="F17" i="10"/>
  <c r="G17" i="10"/>
  <c r="F24" i="10"/>
  <c r="AZ114" i="27" l="1"/>
  <c r="BD114" i="27" s="1"/>
  <c r="AZ156" i="27"/>
  <c r="BD156" i="27" s="1"/>
  <c r="AZ120" i="27"/>
  <c r="BD120" i="27" s="1"/>
  <c r="AZ162" i="27"/>
  <c r="BD162" i="27" s="1"/>
  <c r="AZ125" i="27"/>
  <c r="BD125" i="27" s="1"/>
  <c r="AZ141" i="27"/>
  <c r="BD141" i="27" s="1"/>
  <c r="AZ14" i="27"/>
  <c r="BD14" i="27" s="1"/>
  <c r="AZ6" i="27"/>
  <c r="BD6" i="27" s="1"/>
  <c r="AZ51" i="27"/>
  <c r="BD51" i="27" s="1"/>
  <c r="AZ115" i="27"/>
  <c r="BD115" i="27" s="1"/>
  <c r="AZ48" i="27"/>
  <c r="BD48" i="27" s="1"/>
  <c r="AZ137" i="27"/>
  <c r="BD137" i="27" s="1"/>
  <c r="AZ143" i="27"/>
  <c r="BD143" i="27" s="1"/>
  <c r="AZ178" i="27"/>
  <c r="BD178" i="27" s="1"/>
  <c r="AZ107" i="27"/>
  <c r="BD107" i="27" s="1"/>
  <c r="AZ66" i="27"/>
  <c r="BD66" i="27" s="1"/>
  <c r="AZ138" i="27"/>
  <c r="BD138" i="27" s="1"/>
  <c r="AZ139" i="27"/>
  <c r="BD139" i="27" s="1"/>
  <c r="AZ176" i="27"/>
  <c r="BD176" i="27" s="1"/>
  <c r="AZ158" i="27"/>
  <c r="BD158" i="27" s="1"/>
  <c r="AZ22" i="27"/>
  <c r="BD22" i="27" s="1"/>
  <c r="AZ35" i="27"/>
  <c r="BD35" i="27" s="1"/>
  <c r="AZ67" i="27"/>
  <c r="BD67" i="27" s="1"/>
  <c r="AZ148" i="27"/>
  <c r="BD148" i="27" s="1"/>
  <c r="AZ89" i="27"/>
  <c r="BD89" i="27" s="1"/>
  <c r="AZ101" i="27"/>
  <c r="BD101" i="27" s="1"/>
  <c r="AZ130" i="27"/>
  <c r="BD130" i="27" s="1"/>
  <c r="AZ23" i="27"/>
  <c r="BD23" i="27" s="1"/>
  <c r="AZ62" i="27"/>
  <c r="BD62" i="27" s="1"/>
  <c r="AZ54" i="27"/>
  <c r="BD54" i="27" s="1"/>
  <c r="AZ129" i="27"/>
  <c r="BD129" i="27" s="1"/>
  <c r="AZ149" i="27"/>
  <c r="BD149" i="27" s="1"/>
  <c r="AZ82" i="27"/>
  <c r="BD82" i="27" s="1"/>
  <c r="AZ88" i="27"/>
  <c r="BD88" i="27" s="1"/>
  <c r="BD145" i="27"/>
  <c r="BD99" i="27"/>
  <c r="BD59" i="27"/>
  <c r="BD97" i="27"/>
  <c r="BD116" i="27"/>
  <c r="BD65" i="27"/>
  <c r="BD182" i="27"/>
  <c r="BD161" i="27"/>
  <c r="BD90" i="27"/>
  <c r="BD16" i="27"/>
  <c r="BD157" i="27"/>
  <c r="BD70" i="27"/>
  <c r="BD84" i="27"/>
  <c r="BD60" i="27"/>
  <c r="BD122" i="27"/>
  <c r="BD135" i="27"/>
  <c r="BD119" i="27"/>
  <c r="BD68" i="27"/>
  <c r="BD187" i="27"/>
  <c r="BD136" i="27"/>
  <c r="BD147" i="27"/>
  <c r="BD93" i="27"/>
  <c r="BD164" i="27"/>
  <c r="BD169" i="27"/>
  <c r="BD181" i="27"/>
  <c r="BD85" i="27"/>
  <c r="BD177" i="27"/>
  <c r="BD94" i="27"/>
  <c r="BD160" i="27"/>
  <c r="BD111" i="27"/>
  <c r="BD56" i="27"/>
  <c r="BD63" i="27"/>
  <c r="BD92" i="27"/>
  <c r="BD127" i="27"/>
  <c r="BD10" i="27"/>
  <c r="BD69" i="27"/>
  <c r="BD186" i="27"/>
  <c r="BD98" i="27"/>
  <c r="BD183" i="27"/>
  <c r="BD58" i="27"/>
  <c r="BD179" i="27"/>
  <c r="BD15" i="27"/>
  <c r="BD47" i="27"/>
  <c r="BD100" i="27"/>
  <c r="BD126" i="27"/>
  <c r="BD166" i="27"/>
  <c r="BD163" i="27"/>
  <c r="BD109" i="27"/>
  <c r="BD18" i="27"/>
  <c r="BD4" i="27"/>
  <c r="BD140" i="27"/>
  <c r="BD13" i="27"/>
  <c r="BD128" i="27"/>
  <c r="BD7" i="27"/>
  <c r="BD28" i="27"/>
  <c r="BD108" i="27"/>
  <c r="BD167" i="27"/>
  <c r="BD55" i="27"/>
  <c r="BD64" i="27"/>
  <c r="BD96" i="27"/>
  <c r="BD150" i="27"/>
  <c r="BD71" i="27"/>
  <c r="BD123" i="27"/>
  <c r="BD57" i="27"/>
  <c r="BD73" i="27"/>
  <c r="BD189" i="27"/>
  <c r="BD191" i="27"/>
  <c r="BD12" i="27"/>
  <c r="BD121" i="27"/>
  <c r="BD142" i="27"/>
  <c r="BD180" i="27"/>
  <c r="BD36" i="27"/>
  <c r="BD50" i="27"/>
  <c r="BD91" i="27"/>
  <c r="BD5" i="27"/>
  <c r="BD72" i="27"/>
  <c r="BD117" i="27"/>
  <c r="BD168" i="27"/>
  <c r="BD144" i="27"/>
  <c r="BD95" i="27"/>
  <c r="BD110" i="27"/>
  <c r="BD46" i="27"/>
  <c r="BD11" i="27"/>
  <c r="BD81" i="27"/>
  <c r="BD184" i="27"/>
  <c r="BD49" i="27"/>
  <c r="BD159" i="27"/>
  <c r="BD74" i="27"/>
  <c r="BD83" i="27"/>
  <c r="BD146" i="27"/>
  <c r="BD185" i="27"/>
  <c r="BD190" i="27"/>
  <c r="BD45" i="27"/>
  <c r="BD188" i="27"/>
  <c r="C19" i="27"/>
  <c r="X10" i="14"/>
  <c r="K20" i="14"/>
  <c r="K22" i="14"/>
  <c r="K23" i="14"/>
  <c r="W4" i="14"/>
  <c r="Z4" i="14" s="1"/>
  <c r="AB7" i="14"/>
  <c r="W6" i="14"/>
  <c r="Z6" i="14" s="1"/>
  <c r="Y5" i="14"/>
  <c r="AA7" i="14"/>
  <c r="AD7" i="14" s="1"/>
  <c r="W5" i="14"/>
  <c r="Z5" i="14" s="1"/>
  <c r="AA10" i="14"/>
  <c r="AD10" i="14" s="1"/>
  <c r="AB10" i="14"/>
  <c r="AC10" i="14"/>
  <c r="X4" i="14"/>
  <c r="Y6" i="14"/>
  <c r="AC6" i="14"/>
  <c r="AB6" i="14"/>
  <c r="AA6" i="14"/>
  <c r="AD6" i="14" s="1"/>
  <c r="X5" i="14"/>
  <c r="Y4" i="14"/>
  <c r="X6" i="14"/>
  <c r="AA5" i="14"/>
  <c r="AD5" i="14" s="1"/>
  <c r="AC5" i="14"/>
  <c r="AB5" i="14"/>
  <c r="AB8" i="14"/>
  <c r="AA8" i="14"/>
  <c r="AD8" i="14" s="1"/>
  <c r="AC8" i="14"/>
  <c r="AC7" i="14"/>
  <c r="W10" i="14"/>
  <c r="Z10" i="14" s="1"/>
  <c r="Y10" i="14"/>
  <c r="AC4" i="14"/>
  <c r="AB4" i="14"/>
  <c r="AA4" i="14"/>
  <c r="AD4" i="14" s="1"/>
  <c r="Y7" i="14"/>
  <c r="X7" i="14"/>
  <c r="W7" i="14"/>
  <c r="Z7" i="14" s="1"/>
  <c r="F22" i="10"/>
  <c r="F36" i="10"/>
  <c r="F43" i="10"/>
  <c r="G45" i="10"/>
  <c r="F44" i="10"/>
  <c r="F86" i="10"/>
  <c r="F30" i="10"/>
  <c r="X5" i="21"/>
  <c r="Y6" i="21"/>
  <c r="G4" i="10"/>
  <c r="F49" i="10"/>
  <c r="BI165" i="7"/>
  <c r="BM165" i="7" s="1"/>
  <c r="BJ144" i="7"/>
  <c r="BM144" i="7" s="1"/>
  <c r="BJ16" i="7"/>
  <c r="BM16" i="7" s="1"/>
  <c r="BJ139" i="7"/>
  <c r="BM139" i="7" s="1"/>
  <c r="BJ163" i="7"/>
  <c r="BM163" i="7" s="1"/>
  <c r="BI57" i="7"/>
  <c r="BM57" i="7" s="1"/>
  <c r="BI35" i="7"/>
  <c r="BM35" i="7" s="1"/>
  <c r="BI89" i="7"/>
  <c r="BM89" i="7" s="1"/>
  <c r="BI12" i="7"/>
  <c r="BM12" i="7" s="1"/>
  <c r="BI4" i="7"/>
  <c r="BM4" i="7" s="1"/>
  <c r="BI6" i="7"/>
  <c r="BM6" i="7" s="1"/>
  <c r="BI81" i="7"/>
  <c r="BM81" i="7" s="1"/>
  <c r="BI74" i="7"/>
  <c r="BM74" i="7" s="1"/>
  <c r="BJ156" i="7"/>
  <c r="BM156" i="7" s="1"/>
  <c r="BI137" i="7"/>
  <c r="BM137" i="7" s="1"/>
  <c r="BI62" i="7"/>
  <c r="BM62" i="7" s="1"/>
  <c r="BJ115" i="7"/>
  <c r="BM115" i="7" s="1"/>
  <c r="BJ19" i="7"/>
  <c r="BM19" i="7" s="1"/>
  <c r="BJ166" i="7"/>
  <c r="BM166" i="7" s="1"/>
  <c r="BI65" i="7"/>
  <c r="BM65" i="7" s="1"/>
  <c r="BI58" i="7"/>
  <c r="BM58" i="7" s="1"/>
  <c r="BI150" i="7"/>
  <c r="BM150" i="7" s="1"/>
  <c r="BJ117" i="7"/>
  <c r="BM117" i="7" s="1"/>
  <c r="BJ54" i="7"/>
  <c r="BM54" i="7" s="1"/>
  <c r="BJ141" i="7"/>
  <c r="BM141" i="7" s="1"/>
  <c r="BI184" i="7"/>
  <c r="BM184" i="7" s="1"/>
  <c r="BI186" i="7"/>
  <c r="BM186" i="7" s="1"/>
  <c r="BI14" i="7"/>
  <c r="BM14" i="7" s="1"/>
  <c r="BI68" i="7"/>
  <c r="BM68" i="7" s="1"/>
  <c r="BJ61" i="7"/>
  <c r="BM61" i="7" s="1"/>
  <c r="BJ168" i="7"/>
  <c r="BM168" i="7" s="1"/>
  <c r="BI49" i="7"/>
  <c r="BM49" i="7" s="1"/>
  <c r="BJ116" i="7"/>
  <c r="BM116" i="7" s="1"/>
  <c r="BI178" i="7"/>
  <c r="BM178" i="7" s="1"/>
  <c r="BJ159" i="7"/>
  <c r="BM159" i="7" s="1"/>
  <c r="BJ143" i="7"/>
  <c r="BM143" i="7" s="1"/>
  <c r="BJ23" i="7"/>
  <c r="BM23" i="7" s="1"/>
  <c r="BJ108" i="7"/>
  <c r="BM108" i="7" s="1"/>
  <c r="BJ162" i="7"/>
  <c r="BM162" i="7" s="1"/>
  <c r="BI183" i="7"/>
  <c r="BM183" i="7" s="1"/>
  <c r="BI101" i="7"/>
  <c r="BM101" i="7" s="1"/>
  <c r="BI47" i="7"/>
  <c r="BM47" i="7" s="1"/>
  <c r="BI182" i="7"/>
  <c r="BM182" i="7" s="1"/>
  <c r="BI100" i="7"/>
  <c r="BM100" i="7" s="1"/>
  <c r="BI71" i="7"/>
  <c r="BM71" i="7" s="1"/>
  <c r="BI136" i="7"/>
  <c r="BM136" i="7" s="1"/>
  <c r="BJ114" i="7"/>
  <c r="BM114" i="7" s="1"/>
  <c r="BJ98" i="7"/>
  <c r="BM98" i="7" s="1"/>
  <c r="BJ161" i="7"/>
  <c r="BM161" i="7" s="1"/>
  <c r="BJ145" i="7"/>
  <c r="BM145" i="7" s="1"/>
  <c r="BJ122" i="7"/>
  <c r="BM122" i="7" s="1"/>
  <c r="BI109" i="7"/>
  <c r="BM109" i="7" s="1"/>
  <c r="BI10" i="7"/>
  <c r="BM10" i="7" s="1"/>
  <c r="BI73" i="7"/>
  <c r="BM73" i="7" s="1"/>
  <c r="BI129" i="7"/>
  <c r="BM129" i="7" s="1"/>
  <c r="BI126" i="7"/>
  <c r="BM126" i="7" s="1"/>
  <c r="BI50" i="7"/>
  <c r="BM50" i="7" s="1"/>
  <c r="BJ96" i="7"/>
  <c r="BM96" i="7" s="1"/>
  <c r="BJ167" i="7"/>
  <c r="BM167" i="7" s="1"/>
  <c r="BI176" i="7"/>
  <c r="BM176" i="7" s="1"/>
  <c r="BI147" i="7"/>
  <c r="BM147" i="7" s="1"/>
  <c r="BI189" i="7"/>
  <c r="BM189" i="7" s="1"/>
  <c r="BI128" i="7"/>
  <c r="BM128" i="7" s="1"/>
  <c r="BI48" i="7"/>
  <c r="BM48" i="7" s="1"/>
  <c r="BI59" i="7"/>
  <c r="BM59" i="7" s="1"/>
  <c r="BI91" i="7"/>
  <c r="BM91" i="7" s="1"/>
  <c r="BJ158" i="7"/>
  <c r="BM158" i="7" s="1"/>
  <c r="BI72" i="7"/>
  <c r="BM72" i="7" s="1"/>
  <c r="BJ157" i="7"/>
  <c r="BM157" i="7" s="1"/>
  <c r="BI125" i="7"/>
  <c r="BM125" i="7" s="1"/>
  <c r="BJ124" i="7"/>
  <c r="BM124" i="7" s="1"/>
  <c r="BJ84" i="7"/>
  <c r="BM84" i="7" s="1"/>
  <c r="BJ164" i="7"/>
  <c r="BM164" i="7" s="1"/>
  <c r="BI127" i="7"/>
  <c r="BM127" i="7" s="1"/>
  <c r="BI94" i="7"/>
  <c r="BM94" i="7" s="1"/>
  <c r="BJ107" i="7"/>
  <c r="BM107" i="7" s="1"/>
  <c r="BJ83" i="7"/>
  <c r="BM83" i="7" s="1"/>
  <c r="BI111" i="7"/>
  <c r="BM111" i="7" s="1"/>
  <c r="BI191" i="7"/>
  <c r="BM191" i="7" s="1"/>
  <c r="BI188" i="7"/>
  <c r="BM188" i="7" s="1"/>
  <c r="BI70" i="7"/>
  <c r="BM70" i="7" s="1"/>
  <c r="BI46" i="7"/>
  <c r="BM46" i="7" s="1"/>
  <c r="BJ97" i="7"/>
  <c r="BM97" i="7" s="1"/>
  <c r="BJ85" i="7"/>
  <c r="BM85" i="7" s="1"/>
  <c r="BI180" i="7"/>
  <c r="BM180" i="7" s="1"/>
  <c r="BI149" i="7"/>
  <c r="BM149" i="7" s="1"/>
  <c r="BI7" i="7"/>
  <c r="BM7" i="7" s="1"/>
  <c r="BI120" i="7"/>
  <c r="BM120" i="7" s="1"/>
  <c r="BI67" i="7"/>
  <c r="BM67" i="7" s="1"/>
  <c r="BI45" i="7"/>
  <c r="BM45" i="7" s="1"/>
  <c r="BI181" i="7"/>
  <c r="BM181" i="7" s="1"/>
  <c r="BI64" i="7"/>
  <c r="BM64" i="7" s="1"/>
  <c r="BI60" i="7"/>
  <c r="BM60" i="7" s="1"/>
  <c r="BJ113" i="7"/>
  <c r="BJ93" i="7"/>
  <c r="BM93" i="7" s="1"/>
  <c r="BJ18" i="7"/>
  <c r="BM18" i="7" s="1"/>
  <c r="BJ140" i="7"/>
  <c r="BM140" i="7" s="1"/>
  <c r="BJ160" i="7"/>
  <c r="BM160" i="7" s="1"/>
  <c r="BJ56" i="7"/>
  <c r="BM56" i="7" s="1"/>
  <c r="BJ15" i="7"/>
  <c r="BM15" i="7" s="1"/>
  <c r="BJ142" i="7"/>
  <c r="BM142" i="7" s="1"/>
  <c r="BJ123" i="7"/>
  <c r="BM123" i="7" s="1"/>
  <c r="BJ82" i="7"/>
  <c r="BM82" i="7" s="1"/>
  <c r="BI36" i="7"/>
  <c r="BM36" i="7" s="1"/>
  <c r="BI28" i="7"/>
  <c r="BM28" i="7" s="1"/>
  <c r="BI185" i="7"/>
  <c r="BM185" i="7" s="1"/>
  <c r="BI187" i="7"/>
  <c r="BM187" i="7" s="1"/>
  <c r="BI110" i="7"/>
  <c r="BM110" i="7" s="1"/>
  <c r="BI88" i="7"/>
  <c r="BM88" i="7" s="1"/>
  <c r="BI13" i="7"/>
  <c r="BM13" i="7" s="1"/>
  <c r="BI69" i="7"/>
  <c r="BM69" i="7" s="1"/>
  <c r="BI135" i="7"/>
  <c r="BM135" i="7" s="1"/>
  <c r="BI138" i="7"/>
  <c r="BM138" i="7" s="1"/>
  <c r="BJ119" i="7"/>
  <c r="BM119" i="7" s="1"/>
  <c r="BJ55" i="7"/>
  <c r="BM55" i="7" s="1"/>
  <c r="BJ146" i="7"/>
  <c r="BM146" i="7" s="1"/>
  <c r="BJ130" i="7"/>
  <c r="BM130" i="7" s="1"/>
  <c r="BJ106" i="7"/>
  <c r="BM106" i="7" s="1"/>
  <c r="BJ99" i="7"/>
  <c r="BM99" i="7" s="1"/>
  <c r="BJ169" i="7"/>
  <c r="BM169" i="7" s="1"/>
  <c r="BI177" i="7"/>
  <c r="BM177" i="7" s="1"/>
  <c r="BI179" i="7"/>
  <c r="BM179" i="7" s="1"/>
  <c r="BI90" i="7"/>
  <c r="BM90" i="7" s="1"/>
  <c r="BI148" i="7"/>
  <c r="BM148" i="7" s="1"/>
  <c r="BI190" i="7"/>
  <c r="BM190" i="7" s="1"/>
  <c r="BI63" i="7"/>
  <c r="BM63" i="7" s="1"/>
  <c r="BI51" i="7"/>
  <c r="BM51" i="7" s="1"/>
  <c r="AA7" i="21"/>
  <c r="Q20" i="21" s="1"/>
  <c r="AC7" i="21"/>
  <c r="X4" i="21"/>
  <c r="W4" i="21"/>
  <c r="Y7" i="21"/>
  <c r="X7" i="21"/>
  <c r="W7" i="21"/>
  <c r="AB7" i="21"/>
  <c r="W6" i="21"/>
  <c r="AC4" i="21"/>
  <c r="AB4" i="21"/>
  <c r="AA4" i="21"/>
  <c r="AA6" i="21"/>
  <c r="AC6" i="21"/>
  <c r="AB6" i="21"/>
  <c r="X6" i="21"/>
  <c r="Y5" i="21"/>
  <c r="AC5" i="21"/>
  <c r="AB5" i="21"/>
  <c r="AA5" i="21"/>
  <c r="W5" i="21"/>
  <c r="A12" i="22"/>
  <c r="C11" i="22"/>
  <c r="G56" i="10"/>
  <c r="G89" i="10"/>
  <c r="V6" i="21"/>
  <c r="K19" i="21"/>
  <c r="I17" i="21"/>
  <c r="H17" i="21"/>
  <c r="R4" i="21"/>
  <c r="R7" i="21"/>
  <c r="I20" i="21"/>
  <c r="H20" i="21"/>
  <c r="G74" i="10"/>
  <c r="K20" i="21"/>
  <c r="V7" i="21"/>
  <c r="G100" i="10"/>
  <c r="K17" i="21"/>
  <c r="V4" i="21"/>
  <c r="I19" i="21"/>
  <c r="H19" i="21"/>
  <c r="R6" i="21"/>
  <c r="A15" i="20"/>
  <c r="C14" i="20"/>
  <c r="K24" i="14"/>
  <c r="I20" i="14"/>
  <c r="H20" i="14"/>
  <c r="I23" i="14"/>
  <c r="H23" i="14"/>
  <c r="I24" i="14"/>
  <c r="H24" i="14"/>
  <c r="H22" i="14"/>
  <c r="I22" i="14"/>
  <c r="G23" i="10"/>
  <c r="G72" i="10"/>
  <c r="F34" i="10"/>
  <c r="F62" i="10"/>
  <c r="F60" i="10"/>
  <c r="BI95" i="7"/>
  <c r="C20" i="27" l="1"/>
  <c r="L20" i="14"/>
  <c r="G32" i="14" s="1"/>
  <c r="AD7" i="21"/>
  <c r="Q23" i="14"/>
  <c r="O20" i="14"/>
  <c r="O23" i="14"/>
  <c r="BJ17" i="7"/>
  <c r="BM17" i="7" s="1"/>
  <c r="Q22" i="14"/>
  <c r="BI66" i="7"/>
  <c r="BM66" i="7" s="1"/>
  <c r="BI52" i="7"/>
  <c r="BM52" i="7" s="1"/>
  <c r="BJ92" i="7"/>
  <c r="BM92" i="7" s="1"/>
  <c r="BI113" i="7"/>
  <c r="BM113" i="7" s="1"/>
  <c r="Q20" i="14"/>
  <c r="BJ22" i="7"/>
  <c r="BM22" i="7" s="1"/>
  <c r="BI5" i="7"/>
  <c r="BM5" i="7" s="1"/>
  <c r="L20" i="21"/>
  <c r="G31" i="21" s="1"/>
  <c r="C12" i="22"/>
  <c r="A13" i="22"/>
  <c r="J20" i="21"/>
  <c r="F31" i="21" s="1"/>
  <c r="L19" i="21"/>
  <c r="G30" i="21" s="1"/>
  <c r="Q18" i="21"/>
  <c r="N20" i="21"/>
  <c r="R20" i="21" s="1"/>
  <c r="I31" i="21" s="1"/>
  <c r="Z7" i="21"/>
  <c r="O20" i="21"/>
  <c r="O19" i="21"/>
  <c r="N19" i="21"/>
  <c r="Z6" i="21"/>
  <c r="I8" i="21"/>
  <c r="J19" i="21"/>
  <c r="F30" i="21" s="1"/>
  <c r="AD4" i="21"/>
  <c r="Q17" i="21"/>
  <c r="AB8" i="21"/>
  <c r="Q19" i="21"/>
  <c r="AD6" i="21"/>
  <c r="L17" i="21"/>
  <c r="G28" i="21" s="1"/>
  <c r="AC8" i="21"/>
  <c r="O17" i="21"/>
  <c r="N17" i="21"/>
  <c r="Z4" i="21"/>
  <c r="J17" i="21"/>
  <c r="F28" i="21" s="1"/>
  <c r="A16" i="20"/>
  <c r="C15" i="20"/>
  <c r="Q21" i="14"/>
  <c r="J20" i="14"/>
  <c r="F32" i="14" s="1"/>
  <c r="L22" i="14"/>
  <c r="G34" i="14" s="1"/>
  <c r="L24" i="14"/>
  <c r="G36" i="14" s="1"/>
  <c r="L23" i="14"/>
  <c r="G35" i="14" s="1"/>
  <c r="J24" i="14"/>
  <c r="F36" i="14" s="1"/>
  <c r="J22" i="14"/>
  <c r="F34" i="14" s="1"/>
  <c r="J23" i="14"/>
  <c r="F35" i="14" s="1"/>
  <c r="BJ95" i="7"/>
  <c r="BG95" i="7"/>
  <c r="I11" i="14"/>
  <c r="BH95" i="7"/>
  <c r="C21" i="27" l="1"/>
  <c r="BM95" i="7"/>
  <c r="N24" i="14"/>
  <c r="N20" i="14"/>
  <c r="R20" i="14" s="1"/>
  <c r="I32" i="14" s="1"/>
  <c r="O24" i="14"/>
  <c r="N23" i="14"/>
  <c r="P23" i="14" s="1"/>
  <c r="H35" i="14" s="1"/>
  <c r="O22" i="14"/>
  <c r="N22" i="14"/>
  <c r="R22" i="14" s="1"/>
  <c r="I34" i="14" s="1"/>
  <c r="Q24" i="14"/>
  <c r="A14" i="22"/>
  <c r="C13" i="22"/>
  <c r="P20" i="21"/>
  <c r="H31" i="21" s="1"/>
  <c r="AA8" i="21"/>
  <c r="AD8" i="21" s="1"/>
  <c r="R19" i="21"/>
  <c r="I30" i="21" s="1"/>
  <c r="AD5" i="21"/>
  <c r="P17" i="21"/>
  <c r="H28" i="21" s="1"/>
  <c r="Q21" i="21"/>
  <c r="R17" i="21"/>
  <c r="I28" i="21" s="1"/>
  <c r="P19" i="21"/>
  <c r="H30" i="21" s="1"/>
  <c r="Q8" i="21"/>
  <c r="P8" i="21"/>
  <c r="F8" i="21"/>
  <c r="O21" i="14"/>
  <c r="X8" i="21"/>
  <c r="Y8" i="21"/>
  <c r="J5" i="21"/>
  <c r="H8" i="21"/>
  <c r="J8" i="21" s="1"/>
  <c r="U8" i="21"/>
  <c r="T8" i="21"/>
  <c r="C16" i="20"/>
  <c r="A17" i="20"/>
  <c r="X11" i="14"/>
  <c r="Y11" i="14"/>
  <c r="K21" i="14"/>
  <c r="K25" i="14" s="1"/>
  <c r="P11" i="14"/>
  <c r="Q11" i="14"/>
  <c r="H11" i="14"/>
  <c r="J11" i="14" s="1"/>
  <c r="F11" i="14"/>
  <c r="C22" i="27" l="1"/>
  <c r="P20" i="14"/>
  <c r="H32" i="14" s="1"/>
  <c r="P24" i="14"/>
  <c r="H36" i="14" s="1"/>
  <c r="R24" i="14"/>
  <c r="I36" i="14" s="1"/>
  <c r="R23" i="14"/>
  <c r="I35" i="14" s="1"/>
  <c r="P22" i="14"/>
  <c r="H34" i="14" s="1"/>
  <c r="Q25" i="14"/>
  <c r="W11" i="14"/>
  <c r="Z11" i="14" s="1"/>
  <c r="C14" i="22"/>
  <c r="A15" i="22"/>
  <c r="O18" i="21"/>
  <c r="N18" i="21"/>
  <c r="Z5" i="21"/>
  <c r="W8" i="21"/>
  <c r="Z8" i="21" s="1"/>
  <c r="K18" i="21"/>
  <c r="V5" i="21"/>
  <c r="S8" i="21"/>
  <c r="V8" i="21" s="1"/>
  <c r="G5" i="21"/>
  <c r="E8" i="21"/>
  <c r="G8" i="21" s="1"/>
  <c r="R5" i="21"/>
  <c r="I18" i="21"/>
  <c r="H18" i="21"/>
  <c r="H21" i="21" s="1"/>
  <c r="O8" i="21"/>
  <c r="R8" i="21" s="1"/>
  <c r="A18" i="20"/>
  <c r="C17" i="20"/>
  <c r="N21" i="14"/>
  <c r="P21" i="14" s="1"/>
  <c r="H33" i="14" s="1"/>
  <c r="O25" i="14"/>
  <c r="I21" i="14"/>
  <c r="I25" i="14" s="1"/>
  <c r="H21" i="14"/>
  <c r="AC11" i="14"/>
  <c r="AB11" i="14"/>
  <c r="U11" i="14"/>
  <c r="T11" i="14"/>
  <c r="O11" i="14"/>
  <c r="R11" i="14" s="1"/>
  <c r="E11" i="14"/>
  <c r="G11" i="14" s="1"/>
  <c r="C23" i="27" l="1"/>
  <c r="A16" i="22"/>
  <c r="C15" i="22"/>
  <c r="L18" i="21"/>
  <c r="G29" i="21" s="1"/>
  <c r="K21" i="21"/>
  <c r="L21" i="21" s="1"/>
  <c r="G32" i="21" s="1"/>
  <c r="N21" i="21"/>
  <c r="R21" i="21" s="1"/>
  <c r="I32" i="21" s="1"/>
  <c r="R18" i="21"/>
  <c r="I29" i="21" s="1"/>
  <c r="J18" i="21"/>
  <c r="F29" i="21" s="1"/>
  <c r="I21" i="21"/>
  <c r="P18" i="21"/>
  <c r="H29" i="21" s="1"/>
  <c r="O21" i="21"/>
  <c r="L35" i="21" s="1"/>
  <c r="L36" i="21" s="1"/>
  <c r="A19" i="20"/>
  <c r="C18" i="20"/>
  <c r="N25" i="14"/>
  <c r="P25" i="14" s="1"/>
  <c r="H37" i="14" s="1"/>
  <c r="R21" i="14"/>
  <c r="I33" i="14" s="1"/>
  <c r="L21" i="14"/>
  <c r="G33" i="14" s="1"/>
  <c r="H25" i="14"/>
  <c r="J21" i="14"/>
  <c r="F33" i="14" s="1"/>
  <c r="AA11" i="14"/>
  <c r="AD11" i="14" s="1"/>
  <c r="S11" i="14"/>
  <c r="V11" i="14" s="1"/>
  <c r="C24" i="27" l="1"/>
  <c r="J21" i="21"/>
  <c r="F32" i="21" s="1"/>
  <c r="K35" i="21"/>
  <c r="K36" i="21" s="1"/>
  <c r="A17" i="22"/>
  <c r="C16" i="22"/>
  <c r="P21" i="21"/>
  <c r="H32" i="21" s="1"/>
  <c r="C19" i="20"/>
  <c r="A20" i="20"/>
  <c r="R25" i="14"/>
  <c r="I37" i="14" s="1"/>
  <c r="L25" i="14"/>
  <c r="G37" i="14" s="1"/>
  <c r="J25" i="14"/>
  <c r="F37" i="14" s="1"/>
  <c r="C25" i="27" l="1"/>
  <c r="A18" i="22"/>
  <c r="C17" i="22"/>
  <c r="C20" i="20"/>
  <c r="A21" i="20"/>
  <c r="C26" i="27" l="1"/>
  <c r="A19" i="22"/>
  <c r="C18" i="22"/>
  <c r="A22" i="20"/>
  <c r="C21" i="20"/>
  <c r="C27" i="27" l="1"/>
  <c r="C19" i="22"/>
  <c r="A20" i="22"/>
  <c r="C22" i="20"/>
  <c r="A23" i="20"/>
  <c r="C28" i="27" l="1"/>
  <c r="C20" i="22"/>
  <c r="A21" i="22"/>
  <c r="A24" i="20"/>
  <c r="C23" i="20"/>
  <c r="C29" i="27" l="1"/>
  <c r="A22" i="22"/>
  <c r="C21" i="22"/>
  <c r="C24" i="20"/>
  <c r="A25" i="20"/>
  <c r="C30" i="27" l="1"/>
  <c r="C22" i="22"/>
  <c r="A23" i="22"/>
  <c r="A26" i="20"/>
  <c r="C25" i="20"/>
  <c r="C31" i="27" l="1"/>
  <c r="A24" i="22"/>
  <c r="C23" i="22"/>
  <c r="C26" i="20"/>
  <c r="A27" i="20"/>
  <c r="C32" i="27" l="1"/>
  <c r="C24" i="22"/>
  <c r="A25" i="22"/>
  <c r="A28" i="20"/>
  <c r="C27" i="20"/>
  <c r="C33" i="27" l="1"/>
  <c r="A26" i="22"/>
  <c r="C25" i="22"/>
  <c r="C28" i="20"/>
  <c r="A29" i="20"/>
  <c r="C34" i="27" l="1"/>
  <c r="C26" i="22"/>
  <c r="A27" i="22"/>
  <c r="A30" i="20"/>
  <c r="C29" i="20"/>
  <c r="C35" i="27" l="1"/>
  <c r="A28" i="22"/>
  <c r="C27" i="22"/>
  <c r="A31" i="20"/>
  <c r="C30" i="20"/>
  <c r="C36" i="27" l="1"/>
  <c r="C28" i="22"/>
  <c r="A29" i="22"/>
  <c r="A32" i="20"/>
  <c r="C31" i="20"/>
  <c r="C37" i="27" l="1"/>
  <c r="C29" i="22"/>
  <c r="A30" i="22"/>
  <c r="A33" i="20"/>
  <c r="C32" i="20"/>
  <c r="C38" i="27" l="1"/>
  <c r="C174" i="20"/>
  <c r="A31" i="22"/>
  <c r="C30" i="22"/>
  <c r="C33" i="20"/>
  <c r="A34" i="20"/>
  <c r="C39" i="27" l="1"/>
  <c r="C175" i="20"/>
  <c r="A32" i="22"/>
  <c r="C31" i="22"/>
  <c r="C34" i="20"/>
  <c r="A35" i="20"/>
  <c r="C40" i="27" l="1"/>
  <c r="C176" i="20"/>
  <c r="C32" i="22"/>
  <c r="A33" i="22"/>
  <c r="C35" i="20"/>
  <c r="A36" i="20"/>
  <c r="C41" i="27" l="1"/>
  <c r="C177" i="20"/>
  <c r="A34" i="22"/>
  <c r="C33" i="22"/>
  <c r="C36" i="20"/>
  <c r="A37" i="20"/>
  <c r="C42" i="27" l="1"/>
  <c r="C178" i="20"/>
  <c r="C34" i="22"/>
  <c r="A35" i="22"/>
  <c r="C37" i="20"/>
  <c r="A38" i="20"/>
  <c r="C43" i="27" l="1"/>
  <c r="C179" i="20"/>
  <c r="C35" i="22"/>
  <c r="A36" i="22"/>
  <c r="C38" i="20"/>
  <c r="A39" i="20"/>
  <c r="C44" i="27" l="1"/>
  <c r="C180" i="20"/>
  <c r="A37" i="22"/>
  <c r="C36" i="22"/>
  <c r="C39" i="20"/>
  <c r="A40" i="20"/>
  <c r="C45" i="27" l="1"/>
  <c r="C181" i="20"/>
  <c r="A38" i="22"/>
  <c r="C37" i="22"/>
  <c r="C40" i="20"/>
  <c r="A41" i="20"/>
  <c r="C46" i="27" l="1"/>
  <c r="C182" i="20"/>
  <c r="C38" i="22"/>
  <c r="A39" i="22"/>
  <c r="C41" i="20"/>
  <c r="A42" i="20"/>
  <c r="C47" i="27" l="1"/>
  <c r="C183" i="20"/>
  <c r="C39" i="22"/>
  <c r="A40" i="22"/>
  <c r="C42" i="20"/>
  <c r="A43" i="20"/>
  <c r="C48" i="27" l="1"/>
  <c r="C184" i="20"/>
  <c r="C40" i="22"/>
  <c r="A41" i="22"/>
  <c r="C43" i="20"/>
  <c r="A44" i="20"/>
  <c r="C49" i="27" l="1"/>
  <c r="C185" i="20"/>
  <c r="C41" i="22"/>
  <c r="A42" i="22"/>
  <c r="C44" i="20"/>
  <c r="A45" i="20"/>
  <c r="C50" i="27" l="1"/>
  <c r="C186" i="20"/>
  <c r="C42" i="22"/>
  <c r="A43" i="22"/>
  <c r="C45" i="20"/>
  <c r="A46" i="20"/>
  <c r="C51" i="27" l="1"/>
  <c r="C187" i="20"/>
  <c r="C43" i="22"/>
  <c r="A44" i="22"/>
  <c r="C46" i="20"/>
  <c r="A47" i="20"/>
  <c r="C52" i="27" l="1"/>
  <c r="C188" i="20"/>
  <c r="C44" i="22"/>
  <c r="A45" i="22"/>
  <c r="C47" i="20"/>
  <c r="A48" i="20"/>
  <c r="C53" i="27" l="1"/>
  <c r="C190" i="20"/>
  <c r="C189" i="20"/>
  <c r="C45" i="22"/>
  <c r="A46" i="22"/>
  <c r="C48" i="20"/>
  <c r="A49" i="20"/>
  <c r="C54" i="27" l="1"/>
  <c r="C46" i="22"/>
  <c r="A47" i="22"/>
  <c r="C49" i="20"/>
  <c r="A50" i="20"/>
  <c r="C55" i="27" l="1"/>
  <c r="C47" i="22"/>
  <c r="A48" i="22"/>
  <c r="C50" i="20"/>
  <c r="A51" i="20"/>
  <c r="C56" i="27" l="1"/>
  <c r="A49" i="22"/>
  <c r="C48" i="22"/>
  <c r="A52" i="20"/>
  <c r="C51" i="20"/>
  <c r="C57" i="27" l="1"/>
  <c r="A50" i="22"/>
  <c r="C49" i="22"/>
  <c r="A53" i="20"/>
  <c r="C52" i="20"/>
  <c r="C58" i="27" l="1"/>
  <c r="C50" i="22"/>
  <c r="A51" i="22"/>
  <c r="A54" i="20"/>
  <c r="C53" i="20"/>
  <c r="C59" i="27" l="1"/>
  <c r="C51" i="22"/>
  <c r="A52" i="22"/>
  <c r="C54" i="20"/>
  <c r="A55" i="20"/>
  <c r="C60" i="27" l="1"/>
  <c r="A53" i="22"/>
  <c r="C52" i="22"/>
  <c r="A56" i="20"/>
  <c r="C55" i="20"/>
  <c r="C61" i="27" l="1"/>
  <c r="A54" i="22"/>
  <c r="C53" i="22"/>
  <c r="A57" i="20"/>
  <c r="C56" i="20"/>
  <c r="C62" i="27" l="1"/>
  <c r="C54" i="22"/>
  <c r="A55" i="22"/>
  <c r="C57" i="20"/>
  <c r="A58" i="20"/>
  <c r="C63" i="27" l="1"/>
  <c r="A56" i="22"/>
  <c r="C55" i="22"/>
  <c r="C58" i="20"/>
  <c r="A59" i="20"/>
  <c r="C64" i="27" l="1"/>
  <c r="A57" i="22"/>
  <c r="C56" i="22"/>
  <c r="C59" i="20"/>
  <c r="A60" i="20"/>
  <c r="C65" i="27" l="1"/>
  <c r="C57" i="22"/>
  <c r="A58" i="22"/>
  <c r="A61" i="20"/>
  <c r="C60" i="20"/>
  <c r="C66" i="27" l="1"/>
  <c r="C58" i="22"/>
  <c r="A59" i="22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C61" i="20"/>
  <c r="A62" i="20"/>
  <c r="C67" i="27" l="1"/>
  <c r="C59" i="22"/>
  <c r="C62" i="20"/>
  <c r="A63" i="20"/>
  <c r="C68" i="27" l="1"/>
  <c r="C63" i="20"/>
  <c r="A64" i="20"/>
  <c r="C69" i="27" l="1"/>
  <c r="C64" i="20"/>
  <c r="A65" i="20"/>
  <c r="C70" i="27" l="1"/>
  <c r="C65" i="20"/>
  <c r="A66" i="20"/>
  <c r="C71" i="27" l="1"/>
  <c r="C66" i="20"/>
  <c r="A67" i="20"/>
  <c r="C72" i="27" l="1"/>
  <c r="C67" i="20"/>
  <c r="A68" i="20"/>
  <c r="C73" i="27" l="1"/>
  <c r="C68" i="20"/>
  <c r="A69" i="20"/>
  <c r="C74" i="27" l="1"/>
  <c r="A70" i="20"/>
  <c r="C69" i="20"/>
  <c r="C75" i="27" l="1"/>
  <c r="A71" i="20"/>
  <c r="C70" i="20"/>
  <c r="C76" i="27" l="1"/>
  <c r="A72" i="20"/>
  <c r="C71" i="20"/>
  <c r="C77" i="27" l="1"/>
  <c r="C72" i="20"/>
  <c r="A73" i="20"/>
  <c r="C78" i="27" l="1"/>
  <c r="C73" i="20"/>
  <c r="A74" i="20"/>
  <c r="C79" i="27" l="1"/>
  <c r="C74" i="20"/>
  <c r="A75" i="20"/>
  <c r="C80" i="27" l="1"/>
  <c r="C75" i="20"/>
  <c r="A76" i="20"/>
  <c r="C81" i="27" l="1"/>
  <c r="C76" i="20"/>
  <c r="A77" i="20"/>
  <c r="C82" i="27" l="1"/>
  <c r="A78" i="20"/>
  <c r="C77" i="20"/>
  <c r="C83" i="27" l="1"/>
  <c r="A79" i="20"/>
  <c r="C78" i="20"/>
  <c r="C84" i="27" l="1"/>
  <c r="A80" i="20"/>
  <c r="C79" i="20"/>
  <c r="C85" i="27" l="1"/>
  <c r="C80" i="20"/>
  <c r="A81" i="20"/>
  <c r="C86" i="27" l="1"/>
  <c r="C81" i="20"/>
  <c r="A82" i="20"/>
  <c r="C87" i="27" l="1"/>
  <c r="C82" i="20"/>
  <c r="A83" i="20"/>
  <c r="C88" i="27" l="1"/>
  <c r="C83" i="20"/>
  <c r="A84" i="20"/>
  <c r="C89" i="27" l="1"/>
  <c r="C84" i="20"/>
  <c r="A85" i="20"/>
  <c r="C90" i="27" l="1"/>
  <c r="A86" i="20"/>
  <c r="C85" i="20"/>
  <c r="C91" i="27" l="1"/>
  <c r="A87" i="20"/>
  <c r="C86" i="20"/>
  <c r="C92" i="27" l="1"/>
  <c r="A88" i="20"/>
  <c r="C87" i="20"/>
  <c r="C93" i="27" l="1"/>
  <c r="C88" i="20"/>
  <c r="A89" i="20"/>
  <c r="C94" i="27" l="1"/>
  <c r="C89" i="20"/>
  <c r="A90" i="20"/>
  <c r="C95" i="27" l="1"/>
  <c r="C90" i="20"/>
  <c r="A91" i="20"/>
  <c r="C96" i="27" l="1"/>
  <c r="C91" i="20"/>
  <c r="A92" i="20"/>
  <c r="C97" i="27" l="1"/>
  <c r="C92" i="20"/>
  <c r="A93" i="20"/>
  <c r="C98" i="27" l="1"/>
  <c r="A94" i="20"/>
  <c r="C93" i="20"/>
  <c r="C99" i="27" l="1"/>
  <c r="A95" i="20"/>
  <c r="C94" i="20"/>
  <c r="C100" i="27" l="1"/>
  <c r="A96" i="20"/>
  <c r="C95" i="20"/>
  <c r="C101" i="27" l="1"/>
  <c r="A97" i="20"/>
  <c r="C96" i="20"/>
  <c r="C102" i="27" l="1"/>
  <c r="A98" i="20"/>
  <c r="C97" i="20"/>
  <c r="C103" i="27" l="1"/>
  <c r="C98" i="20"/>
  <c r="A99" i="20"/>
  <c r="C104" i="27" l="1"/>
  <c r="C99" i="20"/>
  <c r="A100" i="20"/>
  <c r="C105" i="27" l="1"/>
  <c r="C100" i="20"/>
  <c r="A101" i="20"/>
  <c r="C106" i="27" l="1"/>
  <c r="C101" i="20"/>
  <c r="A102" i="20"/>
  <c r="C107" i="27" l="1"/>
  <c r="C102" i="20"/>
  <c r="A103" i="20"/>
  <c r="C108" i="27" l="1"/>
  <c r="C103" i="20"/>
  <c r="A104" i="20"/>
  <c r="C109" i="27" l="1"/>
  <c r="A105" i="20"/>
  <c r="C104" i="20"/>
  <c r="C110" i="27" l="1"/>
  <c r="A106" i="20"/>
  <c r="C105" i="20"/>
  <c r="C111" i="27" l="1"/>
  <c r="C106" i="20"/>
  <c r="A107" i="20"/>
  <c r="C112" i="27" l="1"/>
  <c r="A108" i="20"/>
  <c r="C107" i="20"/>
  <c r="C113" i="27" l="1"/>
  <c r="A109" i="20"/>
  <c r="C108" i="20"/>
  <c r="C114" i="27" l="1"/>
  <c r="C109" i="20"/>
  <c r="A110" i="20"/>
  <c r="C115" i="27" l="1"/>
  <c r="C110" i="20"/>
  <c r="A111" i="20"/>
  <c r="C116" i="27" l="1"/>
  <c r="A112" i="20"/>
  <c r="C111" i="20"/>
  <c r="C117" i="27" l="1"/>
  <c r="A113" i="20"/>
  <c r="C112" i="20"/>
  <c r="C118" i="27" l="1"/>
  <c r="A114" i="20"/>
  <c r="C113" i="20"/>
  <c r="C119" i="27" l="1"/>
  <c r="A115" i="20"/>
  <c r="C114" i="20"/>
  <c r="C120" i="27" l="1"/>
  <c r="A116" i="20"/>
  <c r="C115" i="20"/>
  <c r="C121" i="27" l="1"/>
  <c r="C116" i="20"/>
  <c r="A117" i="20"/>
  <c r="C122" i="27" l="1"/>
  <c r="C117" i="20"/>
  <c r="A118" i="20"/>
  <c r="C123" i="27" l="1"/>
  <c r="C118" i="20"/>
  <c r="A119" i="20"/>
  <c r="A120" i="20" s="1"/>
  <c r="C124" i="27" l="1"/>
  <c r="A121" i="20"/>
  <c r="C120" i="20"/>
  <c r="C119" i="20"/>
  <c r="C125" i="27" l="1"/>
  <c r="A122" i="20"/>
  <c r="C121" i="20"/>
  <c r="C60" i="22"/>
  <c r="C126" i="27" l="1"/>
  <c r="A123" i="20"/>
  <c r="C122" i="20"/>
  <c r="C61" i="22"/>
  <c r="C127" i="27" l="1"/>
  <c r="A124" i="20"/>
  <c r="C123" i="20"/>
  <c r="C62" i="22"/>
  <c r="C128" i="27" l="1"/>
  <c r="C124" i="20"/>
  <c r="A125" i="20"/>
  <c r="C63" i="22"/>
  <c r="C129" i="27" l="1"/>
  <c r="A126" i="20"/>
  <c r="C125" i="20"/>
  <c r="C64" i="22"/>
  <c r="C130" i="27" l="1"/>
  <c r="A127" i="20"/>
  <c r="C126" i="20"/>
  <c r="C65" i="22"/>
  <c r="C131" i="27" l="1"/>
  <c r="C127" i="20"/>
  <c r="A128" i="20"/>
  <c r="C66" i="22"/>
  <c r="C132" i="27" l="1"/>
  <c r="A129" i="20"/>
  <c r="C128" i="20"/>
  <c r="C67" i="22"/>
  <c r="C133" i="27" l="1"/>
  <c r="A130" i="20"/>
  <c r="C129" i="20"/>
  <c r="C68" i="22"/>
  <c r="C134" i="27" l="1"/>
  <c r="C130" i="20"/>
  <c r="A131" i="20"/>
  <c r="C69" i="22"/>
  <c r="C135" i="27" l="1"/>
  <c r="A132" i="20"/>
  <c r="C131" i="20"/>
  <c r="C70" i="22"/>
  <c r="C136" i="27" l="1"/>
  <c r="C132" i="20"/>
  <c r="A133" i="20"/>
  <c r="C71" i="22"/>
  <c r="C137" i="27" l="1"/>
  <c r="A134" i="20"/>
  <c r="C133" i="20"/>
  <c r="C72" i="22"/>
  <c r="C138" i="27" l="1"/>
  <c r="A135" i="20"/>
  <c r="C134" i="20"/>
  <c r="C73" i="22"/>
  <c r="C139" i="27" l="1"/>
  <c r="A136" i="20"/>
  <c r="C135" i="20"/>
  <c r="C74" i="22"/>
  <c r="C140" i="27" l="1"/>
  <c r="C136" i="20"/>
  <c r="A137" i="20"/>
  <c r="C75" i="22"/>
  <c r="C76" i="22"/>
  <c r="C141" i="27" l="1"/>
  <c r="A138" i="20"/>
  <c r="C137" i="20"/>
  <c r="C142" i="27" l="1"/>
  <c r="A139" i="20"/>
  <c r="C138" i="20"/>
  <c r="C143" i="27" l="1"/>
  <c r="A140" i="20"/>
  <c r="C139" i="20"/>
  <c r="C144" i="27" l="1"/>
  <c r="C140" i="20"/>
  <c r="A141" i="20"/>
  <c r="C145" i="27" l="1"/>
  <c r="C141" i="20"/>
  <c r="A142" i="20"/>
  <c r="C146" i="27" l="1"/>
  <c r="A143" i="20"/>
  <c r="C142" i="20"/>
  <c r="C147" i="27" l="1"/>
  <c r="C143" i="20"/>
  <c r="A144" i="20"/>
  <c r="C148" i="27" l="1"/>
  <c r="C144" i="20"/>
  <c r="A145" i="20"/>
  <c r="C149" i="27" l="1"/>
  <c r="A146" i="20"/>
  <c r="C145" i="20"/>
  <c r="C150" i="27" l="1"/>
  <c r="C146" i="20"/>
  <c r="A147" i="20"/>
  <c r="C151" i="27" l="1"/>
  <c r="A148" i="20"/>
  <c r="C147" i="20"/>
  <c r="C152" i="27" l="1"/>
  <c r="C148" i="20"/>
  <c r="A149" i="20"/>
  <c r="C153" i="27" l="1"/>
  <c r="A150" i="20"/>
  <c r="C149" i="20"/>
  <c r="C154" i="27" l="1"/>
  <c r="A151" i="20"/>
  <c r="C150" i="20"/>
  <c r="C155" i="27" l="1"/>
  <c r="C151" i="20"/>
  <c r="A152" i="20"/>
  <c r="C156" i="27" l="1"/>
  <c r="A153" i="20"/>
  <c r="C152" i="20"/>
  <c r="C157" i="27" l="1"/>
  <c r="C153" i="20"/>
  <c r="A154" i="20"/>
  <c r="C158" i="27" l="1"/>
  <c r="A155" i="20"/>
  <c r="C154" i="20"/>
  <c r="C159" i="27" l="1"/>
  <c r="A156" i="20"/>
  <c r="C155" i="20"/>
  <c r="C160" i="27" l="1"/>
  <c r="A157" i="20"/>
  <c r="C156" i="20"/>
  <c r="C161" i="27" l="1"/>
  <c r="C157" i="20"/>
  <c r="A158" i="20"/>
  <c r="C162" i="27" l="1"/>
  <c r="C158" i="20"/>
  <c r="A159" i="20"/>
  <c r="C163" i="27" l="1"/>
  <c r="C159" i="20"/>
  <c r="A160" i="20"/>
  <c r="C164" i="27" l="1"/>
  <c r="A161" i="20"/>
  <c r="C160" i="20"/>
  <c r="C165" i="27" l="1"/>
  <c r="A162" i="20"/>
  <c r="C161" i="20"/>
  <c r="C166" i="27" l="1"/>
  <c r="A163" i="20"/>
  <c r="C162" i="20"/>
  <c r="C167" i="27" l="1"/>
  <c r="A164" i="20"/>
  <c r="C163" i="20"/>
  <c r="C168" i="27" l="1"/>
  <c r="A165" i="20"/>
  <c r="C164" i="20"/>
  <c r="C169" i="27" l="1"/>
  <c r="A166" i="20"/>
  <c r="C165" i="20"/>
  <c r="C170" i="27" l="1"/>
  <c r="A167" i="20"/>
  <c r="C166" i="20"/>
  <c r="C171" i="27" l="1"/>
  <c r="C167" i="20"/>
  <c r="A168" i="20"/>
  <c r="C172" i="27" l="1"/>
  <c r="A169" i="20"/>
  <c r="C168" i="20"/>
  <c r="C173" i="27" l="1"/>
  <c r="A170" i="20"/>
  <c r="C169" i="20"/>
  <c r="C174" i="27" l="1"/>
  <c r="A171" i="20"/>
  <c r="C170" i="20"/>
  <c r="C175" i="27" l="1"/>
  <c r="A172" i="20"/>
  <c r="C171" i="20"/>
  <c r="C176" i="27" l="1"/>
  <c r="A173" i="20"/>
  <c r="C173" i="20" s="1"/>
  <c r="C172" i="20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C177" i="27" l="1"/>
  <c r="A90" i="7"/>
  <c r="C89" i="7"/>
  <c r="C4" i="7"/>
  <c r="C178" i="27" l="1"/>
  <c r="A91" i="7"/>
  <c r="C90" i="7"/>
  <c r="C5" i="7"/>
  <c r="C179" i="27" l="1"/>
  <c r="A92" i="7"/>
  <c r="C91" i="7"/>
  <c r="C6" i="7"/>
  <c r="C180" i="27" l="1"/>
  <c r="A93" i="7"/>
  <c r="C92" i="7"/>
  <c r="C7" i="7"/>
  <c r="C181" i="27" l="1"/>
  <c r="A94" i="7"/>
  <c r="C93" i="7"/>
  <c r="C8" i="7"/>
  <c r="C182" i="27" l="1"/>
  <c r="A95" i="7"/>
  <c r="C94" i="7"/>
  <c r="C9" i="7"/>
  <c r="C183" i="27" l="1"/>
  <c r="A96" i="7"/>
  <c r="C95" i="7"/>
  <c r="C10" i="7"/>
  <c r="C184" i="27" l="1"/>
  <c r="A97" i="7"/>
  <c r="C96" i="7"/>
  <c r="C11" i="7"/>
  <c r="C185" i="27" l="1"/>
  <c r="A98" i="7"/>
  <c r="C97" i="7"/>
  <c r="C12" i="7"/>
  <c r="C186" i="27" l="1"/>
  <c r="A99" i="7"/>
  <c r="C98" i="7"/>
  <c r="C13" i="7"/>
  <c r="C187" i="27" l="1"/>
  <c r="A100" i="7"/>
  <c r="C99" i="7"/>
  <c r="C14" i="7"/>
  <c r="C188" i="27" l="1"/>
  <c r="A101" i="7"/>
  <c r="C100" i="7"/>
  <c r="C15" i="7"/>
  <c r="C189" i="27" l="1"/>
  <c r="A102" i="7"/>
  <c r="C101" i="7"/>
  <c r="C16" i="7"/>
  <c r="C190" i="27" l="1"/>
  <c r="A103" i="7"/>
  <c r="C102" i="7"/>
  <c r="C17" i="7"/>
  <c r="C191" i="27" l="1"/>
  <c r="A104" i="7"/>
  <c r="C103" i="7"/>
  <c r="C18" i="7"/>
  <c r="C192" i="27" l="1"/>
  <c r="A105" i="7"/>
  <c r="C104" i="7"/>
  <c r="C19" i="7"/>
  <c r="C193" i="27" l="1"/>
  <c r="A106" i="7"/>
  <c r="C105" i="7"/>
  <c r="C20" i="7"/>
  <c r="C194" i="27" l="1"/>
  <c r="A107" i="7"/>
  <c r="C106" i="7"/>
  <c r="C21" i="7"/>
  <c r="C195" i="27" l="1"/>
  <c r="A108" i="7"/>
  <c r="C107" i="7"/>
  <c r="C22" i="7"/>
  <c r="C197" i="27" l="1"/>
  <c r="C196" i="27"/>
  <c r="A109" i="7"/>
  <c r="C108" i="7"/>
  <c r="C23" i="7"/>
  <c r="A110" i="7" l="1"/>
  <c r="C109" i="7"/>
  <c r="C24" i="7"/>
  <c r="A111" i="7" l="1"/>
  <c r="C110" i="7"/>
  <c r="C25" i="7"/>
  <c r="A112" i="7" l="1"/>
  <c r="C111" i="7"/>
  <c r="C26" i="7"/>
  <c r="A113" i="7" l="1"/>
  <c r="C112" i="7"/>
  <c r="C27" i="7"/>
  <c r="A114" i="7" l="1"/>
  <c r="C113" i="7"/>
  <c r="C28" i="7"/>
  <c r="A115" i="7" l="1"/>
  <c r="C114" i="7"/>
  <c r="C29" i="7"/>
  <c r="A116" i="7" l="1"/>
  <c r="C115" i="7"/>
  <c r="C30" i="7"/>
  <c r="A117" i="7" l="1"/>
  <c r="C116" i="7"/>
  <c r="C31" i="7"/>
  <c r="A118" i="7" l="1"/>
  <c r="C117" i="7"/>
  <c r="C32" i="7"/>
  <c r="A119" i="7" l="1"/>
  <c r="C118" i="7"/>
  <c r="C33" i="7"/>
  <c r="A120" i="7" l="1"/>
  <c r="C119" i="7"/>
  <c r="C34" i="7"/>
  <c r="A121" i="7" l="1"/>
  <c r="C120" i="7"/>
  <c r="C35" i="7"/>
  <c r="A122" i="7" l="1"/>
  <c r="C121" i="7"/>
  <c r="C36" i="7"/>
  <c r="A123" i="7" l="1"/>
  <c r="C122" i="7"/>
  <c r="C37" i="7"/>
  <c r="A124" i="7" l="1"/>
  <c r="C123" i="7"/>
  <c r="C38" i="7"/>
  <c r="A125" i="7" l="1"/>
  <c r="C124" i="7"/>
  <c r="C39" i="7"/>
  <c r="A126" i="7" l="1"/>
  <c r="C125" i="7"/>
  <c r="C40" i="7"/>
  <c r="A127" i="7" l="1"/>
  <c r="C126" i="7"/>
  <c r="C41" i="7"/>
  <c r="A128" i="7" l="1"/>
  <c r="C127" i="7"/>
  <c r="C42" i="7"/>
  <c r="A129" i="7" l="1"/>
  <c r="C128" i="7"/>
  <c r="C43" i="7"/>
  <c r="A130" i="7" l="1"/>
  <c r="C129" i="7"/>
  <c r="C44" i="7"/>
  <c r="A131" i="7" l="1"/>
  <c r="C130" i="7"/>
  <c r="C45" i="7"/>
  <c r="A132" i="7" l="1"/>
  <c r="C131" i="7"/>
  <c r="C46" i="7"/>
  <c r="A133" i="7" l="1"/>
  <c r="C132" i="7"/>
  <c r="C47" i="7"/>
  <c r="A134" i="7" l="1"/>
  <c r="C133" i="7"/>
  <c r="C48" i="7"/>
  <c r="A135" i="7" l="1"/>
  <c r="C134" i="7"/>
  <c r="C49" i="7"/>
  <c r="A136" i="7" l="1"/>
  <c r="C135" i="7"/>
  <c r="C50" i="7"/>
  <c r="A137" i="7" l="1"/>
  <c r="C136" i="7"/>
  <c r="C51" i="7"/>
  <c r="A138" i="7" l="1"/>
  <c r="C137" i="7"/>
  <c r="C52" i="7"/>
  <c r="A139" i="7" l="1"/>
  <c r="C138" i="7"/>
  <c r="C53" i="7"/>
  <c r="A140" i="7" l="1"/>
  <c r="C139" i="7"/>
  <c r="C54" i="7"/>
  <c r="A141" i="7" l="1"/>
  <c r="C140" i="7"/>
  <c r="C55" i="7"/>
  <c r="A142" i="7" l="1"/>
  <c r="C141" i="7"/>
  <c r="C56" i="7"/>
  <c r="A143" i="7" l="1"/>
  <c r="C142" i="7"/>
  <c r="C57" i="7"/>
  <c r="A144" i="7" l="1"/>
  <c r="C143" i="7"/>
  <c r="C58" i="7"/>
  <c r="A145" i="7" l="1"/>
  <c r="C144" i="7"/>
  <c r="C59" i="7"/>
  <c r="A50" i="13"/>
  <c r="A51" i="13" s="1"/>
  <c r="A146" i="7" l="1"/>
  <c r="C145" i="7"/>
  <c r="C60" i="7"/>
  <c r="A52" i="13"/>
  <c r="A147" i="7" l="1"/>
  <c r="C146" i="7"/>
  <c r="C61" i="7"/>
  <c r="A148" i="7" l="1"/>
  <c r="C147" i="7"/>
  <c r="C62" i="7"/>
  <c r="A149" i="7" l="1"/>
  <c r="C148" i="7"/>
  <c r="C63" i="7"/>
  <c r="A150" i="7" l="1"/>
  <c r="C149" i="7"/>
  <c r="C64" i="7"/>
  <c r="A151" i="7" l="1"/>
  <c r="C150" i="7"/>
  <c r="C65" i="7"/>
  <c r="A152" i="7" l="1"/>
  <c r="C151" i="7"/>
  <c r="C66" i="7"/>
  <c r="A153" i="7" l="1"/>
  <c r="C152" i="7"/>
  <c r="C67" i="7"/>
  <c r="A154" i="7" l="1"/>
  <c r="C153" i="7"/>
  <c r="C68" i="7"/>
  <c r="A155" i="7" l="1"/>
  <c r="C154" i="7"/>
  <c r="C69" i="7"/>
  <c r="A156" i="7" l="1"/>
  <c r="C155" i="7"/>
  <c r="C70" i="7"/>
  <c r="A157" i="7" l="1"/>
  <c r="C156" i="7"/>
  <c r="C71" i="7"/>
  <c r="A158" i="7" l="1"/>
  <c r="C157" i="7"/>
  <c r="C72" i="7"/>
  <c r="A159" i="7" l="1"/>
  <c r="C158" i="7"/>
  <c r="C73" i="7"/>
  <c r="A160" i="7" l="1"/>
  <c r="C159" i="7"/>
  <c r="C74" i="7"/>
  <c r="A161" i="7" l="1"/>
  <c r="C160" i="7"/>
  <c r="C75" i="7"/>
  <c r="A162" i="7" l="1"/>
  <c r="C161" i="7"/>
  <c r="C76" i="7"/>
  <c r="A163" i="7" l="1"/>
  <c r="C162" i="7"/>
  <c r="C77" i="7"/>
  <c r="A164" i="7" l="1"/>
  <c r="C163" i="7"/>
  <c r="C78" i="7"/>
  <c r="A165" i="7" l="1"/>
  <c r="C164" i="7"/>
  <c r="C79" i="7"/>
  <c r="A166" i="7" l="1"/>
  <c r="C165" i="7"/>
  <c r="C80" i="7"/>
  <c r="A167" i="7" l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C166" i="7"/>
  <c r="C81" i="7"/>
  <c r="C167" i="7" l="1"/>
  <c r="C82" i="7"/>
  <c r="C168" i="7" l="1"/>
  <c r="C83" i="7"/>
  <c r="C169" i="7" l="1"/>
  <c r="C84" i="7"/>
  <c r="C170" i="7" l="1"/>
  <c r="C85" i="7"/>
  <c r="C86" i="7" l="1"/>
  <c r="C171" i="7" l="1"/>
  <c r="C172" i="7"/>
  <c r="C87" i="7"/>
  <c r="C173" i="7" l="1"/>
  <c r="C88" i="7"/>
  <c r="C174" i="7" l="1"/>
  <c r="A59" i="13"/>
  <c r="A60" i="13" s="1"/>
  <c r="A61" i="13" s="1"/>
  <c r="A62" i="13" s="1"/>
  <c r="C175" i="7" l="1"/>
  <c r="J10" i="18"/>
  <c r="C176" i="7" l="1"/>
  <c r="C177" i="7" l="1"/>
  <c r="C178" i="7" l="1"/>
  <c r="C179" i="7" l="1"/>
  <c r="C180" i="7" l="1"/>
  <c r="C181" i="7" l="1"/>
  <c r="C182" i="7" l="1"/>
  <c r="C183" i="7" l="1"/>
  <c r="C184" i="7" l="1"/>
  <c r="C185" i="7" l="1"/>
  <c r="C186" i="7" l="1"/>
  <c r="C187" i="7" l="1"/>
  <c r="C188" i="7" l="1"/>
  <c r="C189" i="7" l="1"/>
  <c r="C190" i="7" l="1"/>
  <c r="C191" i="7" l="1"/>
  <c r="C192" i="7" l="1"/>
  <c r="C193" i="7" l="1"/>
  <c r="C194" i="7" l="1"/>
  <c r="C195" i="7" l="1"/>
  <c r="C196" i="7" l="1"/>
  <c r="C197" i="7" l="1"/>
  <c r="P31" i="21"/>
  <c r="P36" i="14"/>
  <c r="P37" i="14" s="1"/>
  <c r="T37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F10" authorId="0" shapeId="0" xr:uid="{50F1060A-F6DA-494C-B995-33B4136997DE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This is a high income setting in a LMIC - need to ensure clarify in inclusion/exclusion criteria</t>
        </r>
      </text>
    </comment>
    <comment ref="F14" authorId="0" shapeId="0" xr:uid="{ACB12C78-82D8-4E32-928F-68EBAAE7AEE2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Unsure - doesn't provide results for all countries, but does list out ICERs for some countries?</t>
        </r>
      </text>
    </comment>
    <comment ref="F15" authorId="0" shapeId="0" xr:uid="{E2D748A6-2021-4C20-AB9C-C226449E2A30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Cannot find supplementary appendix online</t>
        </r>
      </text>
    </comment>
    <comment ref="F16" authorId="0" shapeId="0" xr:uid="{7CC43226-7C19-425A-BE1C-4DC5EB0FB6AF}">
      <text>
        <r>
          <rPr>
            <b/>
            <sz val="9"/>
            <color indexed="81"/>
            <rFont val="Tahoma"/>
            <family val="2"/>
          </rPr>
          <t xml:space="preserve">Natalie Carvalho:
</t>
        </r>
        <r>
          <rPr>
            <sz val="9"/>
            <color indexed="81"/>
            <rFont val="Tahoma"/>
            <family val="2"/>
          </rPr>
          <t>Cannot find supplementary appendix online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tc={A20217E3-278A-AF4F-8C7A-2AEF2229A601}</author>
    <author>tc={D43EACBA-0A03-FD4B-949E-9BCD036E431C}</author>
    <author>tc={FC791BED-CFB7-1E40-B832-07E0FD487DAA}</author>
    <author>Edifofon Akpan</author>
    <author>tc={B126892A-3964-4548-9692-85A0D51EE1C1}</author>
    <author>tc={80141E4C-7FB4-4A4A-866F-3B68CCD4AF32}</author>
    <author>tc={EC26F930-4047-A443-97C9-51B8DF205DC5}</author>
    <author>tc={A4324429-0C41-5446-BAB6-2FB443237E4F}</author>
    <author>tc={67619DD8-7BFA-AB49-B8E0-B1856982774C}</author>
    <author>tc={EDD22237-9993-174A-B8F1-6E92AFC05D70}</author>
    <author>tc={650C23F2-306A-8348-8F62-1132EB49A9FE}</author>
    <author>tc={FFF762F4-FD09-6C44-A975-F01B3B487ADA}</author>
  </authors>
  <commentList>
    <comment ref="O1" authorId="0" shapeId="0" xr:uid="{A20217E3-278A-AF4F-8C7A-2AEF2229A601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Z1" authorId="1" shapeId="0" xr:uid="{D43EACBA-0A03-FD4B-949E-9BCD036E431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S88" authorId="2" shapeId="0" xr:uid="{FC791BED-CFB7-1E40-B832-07E0FD487DAA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T95" authorId="3" shapeId="0" xr:uid="{67FF9B55-B500-AD46-BAB4-DBA52CF87C6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D95" authorId="3" shapeId="0" xr:uid="{869DB538-8348-FD47-8967-4099D0EEA7B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T102" authorId="3" shapeId="0" xr:uid="{51F05B91-591A-B04C-B30C-3895119D88E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X102" authorId="4" shapeId="0" xr:uid="{B126892A-3964-4548-9692-85A0D51EE1C1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D102" authorId="3" shapeId="0" xr:uid="{CAEE9770-DD80-214B-A306-AD0D278D9AB9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C107" authorId="3" shapeId="0" xr:uid="{08258869-5C14-E84C-B1DC-BDAC934979A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13" authorId="3" shapeId="0" xr:uid="{6A482598-8F42-6141-9ECF-C42983568F8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21" authorId="5" shapeId="0" xr:uid="{80141E4C-7FB4-4A4A-866F-3B68CCD4AF32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Z156" authorId="6" shapeId="0" xr:uid="{EC26F930-4047-A443-97C9-51B8DF205DC5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D156" authorId="3" shapeId="0" xr:uid="{248B46A2-22CB-564F-B82B-C182180C7F1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Z157" authorId="7" shapeId="0" xr:uid="{A4324429-0C41-5446-BAB6-2FB443237E4F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8" authorId="8" shapeId="0" xr:uid="{67619DD8-7BFA-AB49-B8E0-B1856982774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9" authorId="9" shapeId="0" xr:uid="{EDD22237-9993-174A-B8F1-6E92AFC05D7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0" authorId="10" shapeId="0" xr:uid="{650C23F2-306A-8348-8F62-1132EB49A9F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1" authorId="11" shapeId="0" xr:uid="{FFF762F4-FD09-6C44-A975-F01B3B487ADA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tc={1704C869-E01B-5743-BBA0-AE8A7B928D5D}</author>
    <author>tc={9358BC43-F352-48F4-BD3C-0874C0AA1B5E}</author>
    <author>tc={B512160C-9FAD-46AA-9BC7-E1A6BE010D3C}</author>
    <author>tc={347BEFE5-2DE7-4D4A-BE40-B30B6E52F099}</author>
    <author>Edifofon Akpan</author>
    <author>tc={7DBFE5A5-BDEB-40BA-91AB-0FB297AD3DB3}</author>
    <author>tc={F205444B-76DB-4263-B5F2-5E606A0173EE}</author>
    <author>tc={110A2627-D995-452B-A1EB-433BC7939373}</author>
    <author>tc={1CEDFDD8-52EC-49A8-A475-BA68BB518479}</author>
    <author>tc={45525DA3-CA03-45F4-A8DB-12CD9A8DB400}</author>
    <author>tc={B5FD9FA9-70B1-4CE2-8524-EFEB22E6F0C3}</author>
    <author>tc={401EC970-6E76-4A74-A4D9-E9AB0F37C8C7}</author>
    <author>tc={5EDA4237-1AA9-4941-A696-D68E03725ADB}</author>
    <author>tc={1F43909C-40AB-4717-9082-92740599568D}</author>
    <author>tc={02B46BAE-7DF0-40ED-B641-E6044FADCDF0}</author>
  </authors>
  <commentList>
    <comment ref="Q1" authorId="0" shapeId="0" xr:uid="{1704C869-E01B-5743-BBA0-AE8A7B928D5D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AG1" authorId="1" shapeId="0" xr:uid="{9358BC43-F352-48F4-BD3C-0874C0AA1B5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AJ1" authorId="2" shapeId="0" xr:uid="{B512160C-9FAD-46AA-9BC7-E1A6BE010D3C}">
      <text>
        <t>[Threaded comment]
Your version of Excel allows you to read this threaded comment; however, any edits to it will get removed if the file is opened in a newer version of Excel. Learn more: https://go.microsoft.com/fwlink/?linkid=870924
Comment:
    Are the efficacy assumptions specific to the types of PCV vaccine used, or just generic</t>
      </text>
    </comment>
    <comment ref="BO1" authorId="3" shapeId="0" xr:uid="{347BEFE5-2DE7-4D4A-BE40-B30B6E52F09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Formal, informal, how they presented the results (total $, % health budget, % immunization budget). If they include these %, put them here</t>
      </text>
    </comment>
    <comment ref="AK17" authorId="4" shapeId="0" xr:uid="{C0092013-E008-4780-91BC-2B6B8B38C17B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U88" authorId="5" shapeId="0" xr:uid="{7DBFE5A5-BDEB-40BA-91AB-0FB297AD3DB3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V95" authorId="4" shapeId="0" xr:uid="{5C98B168-CA90-4626-ABD5-51868360A642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N95" authorId="4" shapeId="0" xr:uid="{E0FF3185-1D43-4EDE-8DE8-51AA789A134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BO99" authorId="6" shapeId="0" xr:uid="{F205444B-76DB-4263-B5F2-5E606A0173E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undiscounted
annual cost of the vaccine programme is approximately
US$130 000 on average. Incorporating cost savings to the
government from averted outpatient visits and hospitalizations,
however, results in net savings of approximately
US$140 000 per year on average.</t>
      </text>
    </comment>
    <comment ref="V102" authorId="4" shapeId="0" xr:uid="{C6D786F5-5AF7-4F1C-864F-8A1C8165946C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D102" authorId="7" shapeId="0" xr:uid="{110A2627-D995-452B-A1EB-433BC7939373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N102" authorId="4" shapeId="0" xr:uid="{D6A3F15D-5534-47F0-9758-9BF20F7BAA9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M107" authorId="4" shapeId="0" xr:uid="{C0844D2B-4170-4DCC-9639-38FBFC5CD5F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13" authorId="4" shapeId="0" xr:uid="{895AB64F-5BD4-4A6E-9152-1ECFE37FCF71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21" authorId="8" shapeId="0" xr:uid="{1CEDFDD8-52EC-49A8-A475-BA68BB518479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AG156" authorId="9" shapeId="0" xr:uid="{45525DA3-CA03-45F4-A8DB-12CD9A8DB40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N156" authorId="4" shapeId="0" xr:uid="{A764B609-6812-47F7-A323-0B5D30A1C07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57" authorId="10" shapeId="0" xr:uid="{B5FD9FA9-70B1-4CE2-8524-EFEB22E6F0C3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8" authorId="11" shapeId="0" xr:uid="{401EC970-6E76-4A74-A4D9-E9AB0F37C8C7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9" authorId="12" shapeId="0" xr:uid="{5EDA4237-1AA9-4941-A696-D68E03725ADB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0" authorId="13" shapeId="0" xr:uid="{1F43909C-40AB-4717-9082-92740599568D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1" authorId="14" shapeId="0" xr:uid="{02B46BAE-7DF0-40ED-B641-E6044FADCDF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79CD75D5-C5D6-8A42-BFC6-C26FFE0611B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T85" authorId="0" shapeId="0" xr:uid="{5971130C-8357-5243-8D6F-7317E89B82C5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Used value for 2013 for previous years as GDPpc was not available for those years</t>
        </r>
      </text>
    </comment>
    <comment ref="S94" authorId="0" shapeId="0" xr:uid="{38011744-C469-6D49-B53B-BD5DB04813A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J98" authorId="0" shapeId="0" xr:uid="{5220ADFD-8A15-BE47-90C6-E2AF5D90AFB6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Discontinuing vaccination</t>
        </r>
      </text>
    </comment>
    <comment ref="S101" authorId="0" shapeId="0" xr:uid="{12155E2E-5C58-8D44-A6DE-F548C453E50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R105" authorId="0" shapeId="0" xr:uid="{4B72890B-86E7-DA42-9716-AA9469B4F9C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R106" authorId="0" shapeId="0" xr:uid="{2A278E09-320B-A140-93C5-09AB3B48B07F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S155" authorId="0" shapeId="0" xr:uid="{F99E3B69-2C87-1F48-9A7C-3C9274795939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70" authorId="0" shapeId="0" xr:uid="{97414D36-BD9E-104D-8196-6006787256E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AG171" authorId="0" shapeId="0" xr:uid="{CD01DBB5-DB18-DA42-B1F3-B0FF4EF01AE4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P172" authorId="0" shapeId="0" xr:uid="{3C4C644F-E3AA-1F4F-8291-DAEB6D7623E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  <comment ref="P173" authorId="0" shapeId="0" xr:uid="{A880C03E-D6BB-F846-BD01-B91A4B79A46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B9C1ABEB-76D1-4B0D-BED9-4A35D16278F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Threshold</t>
        </r>
      </text>
    </comment>
    <comment ref="Q3" authorId="0" shapeId="0" xr:uid="{07B41D7A-880C-46BA-BC88-1F2960B140C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C58AC36B-0F42-C24E-BA51-80448C2740A2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35F39659-F2B8-498B-AA02-6814765553A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3AE178F4-EED3-E947-9279-99A00711277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86B471FF-85E8-E748-9F21-BDFE99424C73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P60" authorId="0" shapeId="0" xr:uid="{1C7E309D-E4A4-174B-ADFC-7D4A33FB15F8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2922A818-45C6-1246-9238-29F1A2E8A6F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Q3" authorId="0" shapeId="0" xr:uid="{1561A858-D27B-884F-BE75-3A2EDA09856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8D087BA2-5233-1440-9A33-DE37E73C547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765AD88C-9491-214D-8F1A-0C60D9C8B38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FBA31BC5-9624-E343-BBCD-F5D64A87C32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BB182" authorId="0" shapeId="0" xr:uid="{5C2CC15F-E1AB-4BDD-B204-764E2A0A2CD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Used value for 2013 for previous years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tc={709E3AC0-5180-7C45-96AB-D8724DDA7592}</author>
  </authors>
  <commentList>
    <comment ref="AB3" authorId="0" shapeId="0" xr:uid="{709E3AC0-5180-7C45-96AB-D8724DDA7592}">
      <text>
        <t>[Threaded comment]
Your version of Excel allows you to read this threaded comment; however, any edits to it will get removed if the file is opened in a newer version of Excel. Learn more: https://go.microsoft.com/fwlink/?linkid=870924
Comment:
    @Edifofon Akpan can you provide source here?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<sst xmlns="http://schemas.openxmlformats.org/spreadsheetml/2006/main" count="26437" uniqueCount="2017">
  <si>
    <t>S/N</t>
  </si>
  <si>
    <t>FirstAuthor</t>
  </si>
  <si>
    <t>PubYear</t>
  </si>
  <si>
    <t>Title</t>
  </si>
  <si>
    <t>Edifofon</t>
  </si>
  <si>
    <t>Natalie</t>
  </si>
  <si>
    <t>Final</t>
  </si>
  <si>
    <t>Ellis</t>
  </si>
  <si>
    <t>Economic evaluation of pneumococcal conjugated vaccines for Argentina.</t>
  </si>
  <si>
    <t>abstract only</t>
  </si>
  <si>
    <t>Reasons</t>
  </si>
  <si>
    <t>Number</t>
  </si>
  <si>
    <t>Password for protected sheets is 12345</t>
  </si>
  <si>
    <t>Lee</t>
  </si>
  <si>
    <t>Cost-effectiveness and public health impact of pneumococcal vaccination in Malaysia.</t>
  </si>
  <si>
    <t>Liu</t>
  </si>
  <si>
    <t>Cost effectiveness of an infant pneumococcal conjugate vaccine program in China.</t>
  </si>
  <si>
    <t>high income settings</t>
  </si>
  <si>
    <t>Lutz</t>
  </si>
  <si>
    <t>Cost-effectiveness analysis of anti-pneumococcal vaccines in panama.</t>
  </si>
  <si>
    <t>no ICERs (multicountry)</t>
  </si>
  <si>
    <t>Manova</t>
  </si>
  <si>
    <t>Health economic analysis of pneumococcal vaccination - Example from Bulgaria.</t>
  </si>
  <si>
    <t>not full economic evaluation</t>
  </si>
  <si>
    <t>Haasis</t>
  </si>
  <si>
    <t>Cost-utility analysis of 10-and 13-valent pneumocococcal conjugate vaccines in the philippines.</t>
  </si>
  <si>
    <t>outcomes not LY, QALY, or DALY</t>
  </si>
  <si>
    <t>Gomez</t>
  </si>
  <si>
    <t>Health economic analysis of pneumococcal conjugated vaccines for Mexico, under a technical parity scenario.</t>
  </si>
  <si>
    <t>review article</t>
  </si>
  <si>
    <t>Sohn</t>
  </si>
  <si>
    <t>Economic evaluation of childhood 7-valent pneumococcal conjugate vaccination in Korea.</t>
  </si>
  <si>
    <t>study included</t>
  </si>
  <si>
    <t>Hu</t>
  </si>
  <si>
    <t>Estimating the cost-effectiveness of the 7-valent pneumococcal conjugate vaccine in Shanghai, China.</t>
  </si>
  <si>
    <t>Cost-effectiveness of infant vaccination with 13-valent versus 10-valent pneumococcal conjuvate vaccine in Korea.</t>
  </si>
  <si>
    <t>Zhang</t>
  </si>
  <si>
    <t>Cost-effectiveness analysis of infant pneumococcal vaccination with PHiD-CV in Korea.</t>
  </si>
  <si>
    <t>Kim</t>
  </si>
  <si>
    <t>Cost-effectiveness of a national immunization program with the 13-valent pneumococcal conjugate vaccine compared with the 10-valent pneumococcal conjugate vaccine in South Korea.</t>
  </si>
  <si>
    <t>Sinha</t>
  </si>
  <si>
    <t>Cost-effectiveness of pneumococcal conjugate vaccination in the prevention of child mortality: an international economic analysis.</t>
  </si>
  <si>
    <t>Nakamura</t>
  </si>
  <si>
    <t>Cost effectiveness of child pneumococcal conjugate vaccination in middle-income countries.</t>
  </si>
  <si>
    <t>Tasslimi</t>
  </si>
  <si>
    <t>Cost effectiveness of child pneumococcal conjugate vaccination in GAVI-eligible countries.</t>
  </si>
  <si>
    <t>Chen</t>
  </si>
  <si>
    <t>Effect and cost-effectiveness of pneumococcal conjugate vaccination: a global modelling analysis.</t>
  </si>
  <si>
    <t>Estimated public health impact of nationwide vaccination of infants with 7-valent pneumococcal conjugate vaccine (PCV7) in China.</t>
  </si>
  <si>
    <t>Griffiths</t>
  </si>
  <si>
    <t>Costs of introducing pneumococcal, rotavirus and a second dose of measles vaccine into the Zambian immunisation programme: Are expansions sustainable?</t>
  </si>
  <si>
    <t>Johansson</t>
  </si>
  <si>
    <t>Health Gains and Financial Protection from Pneumococcal Vaccination and Pneumonia Treatment in Ethiopia: Results from an Extended Cost-Effectiveness Analysis.</t>
  </si>
  <si>
    <t>Not economic evaluation</t>
  </si>
  <si>
    <t>Verguet</t>
  </si>
  <si>
    <t>Health gains and financial risk protection afforded by public financing of selected interventions in ethiopia: An extended cost-effectiveness analysis.</t>
  </si>
  <si>
    <t>Mezones</t>
  </si>
  <si>
    <t>Cost-effectiveness analysis of pneumococcal conjugate vaccines in preventing pneumonia in Peruvian children.</t>
  </si>
  <si>
    <t>Giglio</t>
  </si>
  <si>
    <t>The pharmacoeconomics of pneumococcal conjugate vaccines in Latin America.</t>
  </si>
  <si>
    <t>Li</t>
  </si>
  <si>
    <t>The Cost-Effectiveness of 13-Valent Pneumococcal Conjugate Vaccine in Seven Chinese Cities.</t>
  </si>
  <si>
    <t>High income settings</t>
  </si>
  <si>
    <t>Cost-effectiveness of the CRM-based 7-valent pneumococcal conjugated vaccine (PCV7) in Argentina.</t>
  </si>
  <si>
    <t>Talbird</t>
  </si>
  <si>
    <t>Outcomes and costs associated with PHiD-CV, a new protein D conjugate pneumococcal vaccine, in four countries.</t>
  </si>
  <si>
    <t>Constenla</t>
  </si>
  <si>
    <t>Post-introduction economic evaluation of pneumococcal conjugate vaccination in Ecuador, Honduras, and Paraguay.</t>
  </si>
  <si>
    <t>Some other reason</t>
  </si>
  <si>
    <t>Castaneda-Orjuela</t>
  </si>
  <si>
    <t>How cost effective is switching universal vaccination from PCV10 to PCV13? A case study from a developing country.</t>
  </si>
  <si>
    <t>Marijam</t>
  </si>
  <si>
    <t>Cost-Effectiveness Comparison of Pneumococcal Conjugate Vaccines in Turkish Children.</t>
  </si>
  <si>
    <t>Pugh</t>
  </si>
  <si>
    <t>Cost-Effectiveness of the Pneumococcal Conjugate Vaccine (10- or 13-Valent) Versus No Vaccination for a National Immunization Program in Tunisia or Algeria.</t>
  </si>
  <si>
    <t>Estimating the Impact of Switching from a Lower to Higher Valent Pneumococcal Conjugate Vaccine in Colombia, Finland, and The Netherlands: A Cost-Effectiveness Analysis.</t>
  </si>
  <si>
    <t>Pecenka</t>
  </si>
  <si>
    <t>Pneumococcal conjugate vaccination in The Gambia: health impact, cost effectiveness and budget implications.</t>
  </si>
  <si>
    <t>Perdrizet</t>
  </si>
  <si>
    <t>Cost-Effectiveness of the 13-Valent Pneumococcal Conjugate Vaccine (PCV13) Versus Lower-Valent Alternatives in Filipino Infants.</t>
  </si>
  <si>
    <t>Cost-effectiveness analysis of replacing the 10-valent pneumococcal conjugate vaccine (PCV10) with the 13-valent pneumococcal conjugate vaccine (PCV13) in Brazil infants.</t>
  </si>
  <si>
    <t>Suwantika</t>
  </si>
  <si>
    <t>Cost-Effectiveness and Budget Impact Analyses of Pneumococcal Vaccination in Indonesia.</t>
  </si>
  <si>
    <t>Wang</t>
  </si>
  <si>
    <t>Cost-effectiveness analysis of domestic 13-valent pneumococcal conjugate vaccine for children under 5 years of age in mainland China.</t>
  </si>
  <si>
    <t>studyID</t>
  </si>
  <si>
    <t>icerID</t>
  </si>
  <si>
    <t>uniqueID</t>
  </si>
  <si>
    <t>firstAuthor</t>
  </si>
  <si>
    <t>pubYear</t>
  </si>
  <si>
    <t>title</t>
  </si>
  <si>
    <t>country</t>
  </si>
  <si>
    <t>income</t>
  </si>
  <si>
    <t>asiaPacific</t>
  </si>
  <si>
    <t>interventionPhrase</t>
  </si>
  <si>
    <t>intervention</t>
  </si>
  <si>
    <t>comparator</t>
  </si>
  <si>
    <t>dosePhrase</t>
  </si>
  <si>
    <t>doseNum</t>
  </si>
  <si>
    <t>baseCase</t>
  </si>
  <si>
    <t>perspective</t>
  </si>
  <si>
    <t>currencyName</t>
  </si>
  <si>
    <t>currencyCountry</t>
  </si>
  <si>
    <t>currencyYear</t>
  </si>
  <si>
    <t>vaxPriceIntervention</t>
  </si>
  <si>
    <t>vaxPriceInterventionUSD</t>
  </si>
  <si>
    <t>vaxPriceInterventionSource</t>
  </si>
  <si>
    <t>vaxPriceComparator</t>
  </si>
  <si>
    <t>vaxPriceComparatorUSD</t>
  </si>
  <si>
    <t>vaxPriceComparatorSource</t>
  </si>
  <si>
    <t>herdEffects</t>
  </si>
  <si>
    <t>herdEffectsMethod</t>
  </si>
  <si>
    <t>herdEffectOlder</t>
  </si>
  <si>
    <t>seroReplace</t>
  </si>
  <si>
    <t>seroReplaceMethod</t>
  </si>
  <si>
    <t>efficacyPneumonia</t>
  </si>
  <si>
    <t>efficacyIPD</t>
  </si>
  <si>
    <t>efficacyOtitis</t>
  </si>
  <si>
    <t>efficacyOthers</t>
  </si>
  <si>
    <t>efficacyAssumptions</t>
  </si>
  <si>
    <t>icerPhrase</t>
  </si>
  <si>
    <t>icerMetric</t>
  </si>
  <si>
    <t>icer</t>
  </si>
  <si>
    <t>icerUSD</t>
  </si>
  <si>
    <t>oneGDPpcdecision</t>
  </si>
  <si>
    <t>threeGDPpcdecision</t>
  </si>
  <si>
    <t>percentGDPpc</t>
  </si>
  <si>
    <t>ochalekHigh</t>
  </si>
  <si>
    <t>ochalekHighDecision</t>
  </si>
  <si>
    <t>ochalekLow</t>
  </si>
  <si>
    <t>ochalekLowDecision</t>
  </si>
  <si>
    <t>woodsHigh</t>
  </si>
  <si>
    <t>woodsHighDecision</t>
  </si>
  <si>
    <t>woodsLow</t>
  </si>
  <si>
    <t>woodsLowDecision</t>
  </si>
  <si>
    <t>studyThreshold</t>
  </si>
  <si>
    <t>studyThresholdDecision</t>
  </si>
  <si>
    <t>switchOchalekLow</t>
  </si>
  <si>
    <t>switchOchalekHigh</t>
  </si>
  <si>
    <t>switchWoodsLow</t>
  </si>
  <si>
    <t>switchWoodsHigh</t>
  </si>
  <si>
    <t xml:space="preserve">Switches </t>
  </si>
  <si>
    <t>budgetImpact</t>
  </si>
  <si>
    <t>budgetImpactResults</t>
  </si>
  <si>
    <t>notesComments</t>
  </si>
  <si>
    <t>Che</t>
  </si>
  <si>
    <t>Modeling the impact of the 7-valent pneumococcal conjugate vaccine in Chinese infants: an economic analysis of a compulsory vaccination</t>
  </si>
  <si>
    <t>China</t>
  </si>
  <si>
    <t>Yes</t>
  </si>
  <si>
    <t>PCV7 vs NoVax</t>
  </si>
  <si>
    <t>PCV7</t>
  </si>
  <si>
    <t>NoVax</t>
  </si>
  <si>
    <t>2+1 Dose</t>
  </si>
  <si>
    <t>Societal</t>
  </si>
  <si>
    <t>US dollar</t>
  </si>
  <si>
    <t>United States</t>
  </si>
  <si>
    <t>Estimated</t>
  </si>
  <si>
    <t>No</t>
  </si>
  <si>
    <t>USD 530,354</t>
  </si>
  <si>
    <t>QALY gained</t>
  </si>
  <si>
    <t>one/three GPDpc</t>
  </si>
  <si>
    <t>Not Cost-Effective</t>
  </si>
  <si>
    <t>decrease in vaccine serotypes (same thing as increase in vax effectiveness &lt;4 y); reduction of IPD rates (20+ y)</t>
  </si>
  <si>
    <t>USD 95,319</t>
  </si>
  <si>
    <t>Caldwell</t>
  </si>
  <si>
    <t>The health and economic impact of vaccination with 7-valent pneumococcal vaccine (PCV7) during an annual influenza epidemic and influenza pandemic in China</t>
  </si>
  <si>
    <t>4 Dose</t>
  </si>
  <si>
    <t>Healthcare/Payer</t>
  </si>
  <si>
    <t>Chinese yuan</t>
  </si>
  <si>
    <t>Shanghai Municipal Commission of Health and Family Planning</t>
  </si>
  <si>
    <t>reduction of pneumonia rates</t>
  </si>
  <si>
    <t>PCV7 trial data</t>
  </si>
  <si>
    <t>CNY 13,737</t>
  </si>
  <si>
    <t>three GDPpc</t>
  </si>
  <si>
    <t>Cost-Effective</t>
  </si>
  <si>
    <t>Maurer</t>
  </si>
  <si>
    <t>Cost-effectiveness analysis of pneumococcal vaccination for infants in China</t>
  </si>
  <si>
    <t>Unclear</t>
  </si>
  <si>
    <t>.</t>
  </si>
  <si>
    <t>Previous study</t>
  </si>
  <si>
    <t>AOM/IPD, adjusted PCV7 trial data</t>
  </si>
  <si>
    <t>USD 18,224</t>
  </si>
  <si>
    <t>PCV10-GSK vs NoVax</t>
  </si>
  <si>
    <t>PCV10</t>
  </si>
  <si>
    <t>USD 16,664</t>
  </si>
  <si>
    <t>PCV13-PFE vs NoVax</t>
  </si>
  <si>
    <t>PCV13</t>
  </si>
  <si>
    <t>USD 11,436</t>
  </si>
  <si>
    <t>Mo</t>
  </si>
  <si>
    <t>Cost-effectiveness and health benefits of pediatric 23-valent pneumococcal polysaccharide vaccine, 7-valent pneumococcal conjugate vaccine and forecasting 13-valent pneumococcal conjugate vaccine in China</t>
  </si>
  <si>
    <t>3 doses</t>
  </si>
  <si>
    <t xml:space="preserve">increase in vaccine effectiveness    </t>
  </si>
  <si>
    <t>USD 104,094</t>
  </si>
  <si>
    <t>Ignoring PPV-23 (Do we specifically state this?)</t>
  </si>
  <si>
    <t>4 doses</t>
  </si>
  <si>
    <t>USD 29,460</t>
  </si>
  <si>
    <t>Shen</t>
  </si>
  <si>
    <t>Estimating the cost-effectiveness of an infant 13-valent pneumococcal conjugate vaccine national immunization program in China</t>
  </si>
  <si>
    <t>3+1 Dose</t>
  </si>
  <si>
    <t>current average list price</t>
  </si>
  <si>
    <t>PCV trial data</t>
  </si>
  <si>
    <t>CNY 79,304/ (direct)</t>
  </si>
  <si>
    <t>two GDPpc</t>
  </si>
  <si>
    <t xml:space="preserve">reduction of IPD </t>
  </si>
  <si>
    <t>CNY 76,551 / DE + IDE for IPD</t>
  </si>
  <si>
    <t>reduction of IPD and pneumonia rates (in unvaccited) based on data from the US</t>
  </si>
  <si>
    <t>CNY 3,777/ (direct + indirect IPD + PNE)</t>
  </si>
  <si>
    <t>Zhou</t>
  </si>
  <si>
    <t>Cost-effectiveness analysis of routine 13-valent pneumococcal conjugate vaccinations in Chinese infants</t>
  </si>
  <si>
    <t>USD 20,709</t>
  </si>
  <si>
    <t>one GDPpc</t>
  </si>
  <si>
    <t>USD 18,483</t>
  </si>
  <si>
    <t>Aljunid</t>
  </si>
  <si>
    <t>Impact of routine PCV7 (Prevenar) vaccination of infants on the clinical and economic burden of pneumococcal disease in Malaysia</t>
  </si>
  <si>
    <t>Malaysia</t>
  </si>
  <si>
    <t>Malaysian ringgit</t>
  </si>
  <si>
    <t>Current market prices</t>
  </si>
  <si>
    <t>reduction of IPD rates</t>
  </si>
  <si>
    <t>RM 35,196</t>
  </si>
  <si>
    <t>Economic impact of pneumococcal protein-D conjugate vaccine (PHiD-CV) on the Malaysian national immunization programme</t>
  </si>
  <si>
    <t>IPD/pneu, PCV10 trial data; AOM, PCV7 trial data</t>
  </si>
  <si>
    <t>USD 9,407</t>
  </si>
  <si>
    <t>PCV10-GSK vs PCV13-PFE</t>
  </si>
  <si>
    <t>USD 61061.49</t>
  </si>
  <si>
    <t>Cost-effectiveness analysis of a universal mass vaccination program with a PHiD-CV 2+ 1 schedule in Malaysia</t>
  </si>
  <si>
    <t>hypothetical price</t>
  </si>
  <si>
    <t>IPD, adjusted PCV7 trial data</t>
  </si>
  <si>
    <t>USD 28,497</t>
  </si>
  <si>
    <t>USD 44907.6</t>
  </si>
  <si>
    <t>Wu</t>
  </si>
  <si>
    <t>Cost-effectiveness analysis of infant universal routine pneumococcal vaccination in Malaysia and Hong Kong</t>
  </si>
  <si>
    <t>private market prices</t>
  </si>
  <si>
    <t>dynamic transmission</t>
  </si>
  <si>
    <t>USD 21,438</t>
  </si>
  <si>
    <t>USD 20,667</t>
  </si>
  <si>
    <t>USD 6,389</t>
  </si>
  <si>
    <t>USD 4,883</t>
  </si>
  <si>
    <t>PCV13-PFE vs PCV10-GSK</t>
  </si>
  <si>
    <t>USD -3,059</t>
  </si>
  <si>
    <t>Cost-Saving</t>
  </si>
  <si>
    <t>USD -5,027</t>
  </si>
  <si>
    <t>USD 15752</t>
  </si>
  <si>
    <t>USD 14981</t>
  </si>
  <si>
    <t>Krishnamoorthy</t>
  </si>
  <si>
    <t>Impact and cost effectiveness of pneumococcal conjugate vaccine in India</t>
  </si>
  <si>
    <t>India</t>
  </si>
  <si>
    <t>USD 467 DALY averted</t>
  </si>
  <si>
    <t>DALY averted</t>
  </si>
  <si>
    <t>USD 4791 million over 10 years 2018-2027; Incremental USD 46 million av. per year</t>
  </si>
  <si>
    <t>The vaccine price per dose was $3.30 till 2021 and $7.00 till 2025 and $15.68 after the end of partnership with GAVI and subsidization by Pfizer</t>
  </si>
  <si>
    <t>Dilokthornsakul</t>
  </si>
  <si>
    <t>An updated cost-effectiveness analysis of pneumococcal conjugate vaccine among children in Thailand</t>
  </si>
  <si>
    <t>Thailand</t>
  </si>
  <si>
    <t>Thai baht</t>
  </si>
  <si>
    <t>pharmaceutical companies</t>
  </si>
  <si>
    <t>various sources</t>
  </si>
  <si>
    <t>THB -46,918 Dose (3 + 1)</t>
  </si>
  <si>
    <t>THB 160000</t>
  </si>
  <si>
    <t>put a note on the diff.</t>
  </si>
  <si>
    <t>THB -70,854 (Dose 2 + 1)</t>
  </si>
  <si>
    <t xml:space="preserve">THB -84,770 Dose (3 + 1): </t>
  </si>
  <si>
    <t xml:space="preserve">THB -99,394 Dose (2 + 1): </t>
  </si>
  <si>
    <t>THB 215,948 Dose (3 + 1)</t>
  </si>
  <si>
    <t>THB 3945.6 million av. per year 2017-2021. Incremental THB 1196 million savings in 2017</t>
  </si>
  <si>
    <t>THB 170,437 Dose 2 + 1)</t>
  </si>
  <si>
    <t>THB 2959.0 million av. per year 2017-2021. Incremental THB   724 million savings in 2017</t>
  </si>
  <si>
    <t xml:space="preserve">THB 97,269 Dose (3 + 1): </t>
  </si>
  <si>
    <t>THB 3147.2 million av. per year 2017-2021. Incremental THB   788 million savings in 2017</t>
  </si>
  <si>
    <t xml:space="preserve">THB 73,674 Dose (2 + 1): </t>
  </si>
  <si>
    <t>THB 2354.6 million av. per year 2017-2021. Incremental THB 1100 million savings in 2017</t>
  </si>
  <si>
    <t>Kulpeng</t>
  </si>
  <si>
    <t>Cost-utility analysis of 10-and 13-valent pneumococcal conjugate vaccines: protection at what price in the Thai context</t>
  </si>
  <si>
    <t>GSK</t>
  </si>
  <si>
    <t>adjust serotype coverage parameter</t>
  </si>
  <si>
    <t>THB 519399 (Dose 2 + 1)</t>
  </si>
  <si>
    <t>THB 100000</t>
  </si>
  <si>
    <t>THB 650087 (Dose 3 + 1)</t>
  </si>
  <si>
    <t>THB 1368072 (Dose 2 + 1)</t>
  </si>
  <si>
    <t>THB 1677379 (Dose 3 + 1)</t>
  </si>
  <si>
    <t>Pfizer</t>
  </si>
  <si>
    <t>THB 527378 (Dose 2 + 1)</t>
  </si>
  <si>
    <t>THB 660662 (Dose 3 + 1)</t>
  </si>
  <si>
    <t>THB 1490305 (Dose 2 + 1)</t>
  </si>
  <si>
    <t>THB 1830716 (Dose 3 + 1)</t>
  </si>
  <si>
    <t>Do pneumococcal conjugate vaccines represent good value for money in a lower-middle income country? A cost-utility analysis in the Philippines</t>
  </si>
  <si>
    <t>Philippines</t>
  </si>
  <si>
    <t>Philippine peso</t>
  </si>
  <si>
    <t>DOH Expanded Program Immunization</t>
  </si>
  <si>
    <t>PHP 68,182</t>
  </si>
  <si>
    <t>PHP 120,000</t>
  </si>
  <si>
    <t>PHP 4935 million over 5 years. Incremental PHP 1837 million over 5 years.</t>
  </si>
  <si>
    <t>PHP 112,640</t>
  </si>
  <si>
    <t>PHP 3557 million over 5 years. Incremental PHP   459 million over 5 years.</t>
  </si>
  <si>
    <t>PHP 54,510</t>
  </si>
  <si>
    <t>PHP 5139 million over 5 years. Incremental PHP 2041 million over 5 years.</t>
  </si>
  <si>
    <t>PHP 84,654</t>
  </si>
  <si>
    <t>PHP 3609 million over 5 years. Incremental PHP   511 million over 5 years.</t>
  </si>
  <si>
    <t>DOH Expanded Program on Immunization</t>
  </si>
  <si>
    <t>PHP 15,795</t>
  </si>
  <si>
    <t>PHP 23,836</t>
  </si>
  <si>
    <t>Cost-effectiveness analysis of pneumococcal vaccination with the pneumococcal polysaccharide NTHi protein D conjugate vaccine in the Philippines</t>
  </si>
  <si>
    <t>pharmacueutical companies</t>
  </si>
  <si>
    <t xml:space="preserve">PHP 50,913 </t>
  </si>
  <si>
    <t>pharmaceuutical companies</t>
  </si>
  <si>
    <t>PHP -310274.66 (dominant)</t>
  </si>
  <si>
    <t>Sundaram</t>
  </si>
  <si>
    <t>Cost-effectiveness of 13-valent pneumococcal conjugate vaccination in Mongolia</t>
  </si>
  <si>
    <t>Mongolia</t>
  </si>
  <si>
    <t>3+0 Dose</t>
  </si>
  <si>
    <t>Gavi AMC ‘tail price’</t>
  </si>
  <si>
    <t>reduction of IPD rates, historical data-driven</t>
  </si>
  <si>
    <t>increase in non-vaccine type IPD</t>
  </si>
  <si>
    <t>vaccine-type pneumococcal carriage</t>
  </si>
  <si>
    <t>USD -27 DALY averted (dominant)</t>
  </si>
  <si>
    <t>USD 920000 in 2016, USD 820000 per year by 2025. Incremental USD 440000 savings in 2016, USD 510000 by 2025</t>
  </si>
  <si>
    <t>Same notes as Che 2014; Higher vaccine price ICERs also available</t>
  </si>
  <si>
    <t>USD 52 DALY averted</t>
  </si>
  <si>
    <t>USD 920000 in 2016, USD 820000 per year by 2025. Incremental USD 380000 savings in 2016, USD 480000 by 2025</t>
  </si>
  <si>
    <t>USD 19 DALY averted</t>
  </si>
  <si>
    <t>USD 79 DALY averted</t>
  </si>
  <si>
    <t>Dorji</t>
  </si>
  <si>
    <t>Towards the introduction of pneumococcal conjugate vaccines in Bhutan: a cost-utility analysis to determine the optimal policy option</t>
  </si>
  <si>
    <t>Bhutan</t>
  </si>
  <si>
    <t>GAVI</t>
  </si>
  <si>
    <t>USD 36</t>
  </si>
  <si>
    <t>USD 3.766 million over 5 years. Incremental USD 0.591 million over 5 years.</t>
  </si>
  <si>
    <t>USD 40</t>
  </si>
  <si>
    <t>USD 3.754 million over 5 years. Incremental USD 0.578 million over 5 years.</t>
  </si>
  <si>
    <t>USD 92</t>
  </si>
  <si>
    <t>Economic impact of pneumococcal conjugate vaccination in Brazil, Chile, and Uruguay</t>
  </si>
  <si>
    <t>Brazil</t>
  </si>
  <si>
    <t>3 Dose</t>
  </si>
  <si>
    <t>PAHO</t>
  </si>
  <si>
    <t>USD 664 DALY averted</t>
  </si>
  <si>
    <t>Uruguay</t>
  </si>
  <si>
    <t xml:space="preserve">USD 1546 DALY averted </t>
  </si>
  <si>
    <t>Vespa</t>
  </si>
  <si>
    <t>Estimating the cost-effectiveness of pneumococcal conjugate vaccination in Brazil</t>
  </si>
  <si>
    <t>Brazilian real</t>
  </si>
  <si>
    <t>R$ 4516 DALY averted</t>
  </si>
  <si>
    <t>R$ 3946 DALY averted</t>
  </si>
  <si>
    <t>R$ 1302 DALY averted</t>
  </si>
  <si>
    <t>R$ 1490 DALY averted</t>
  </si>
  <si>
    <t>R$ 5973 DALY averted</t>
  </si>
  <si>
    <t>R$ 5403 DALY averted</t>
  </si>
  <si>
    <t>Economic evaluation of pneumococcal conjugate vaccination in The Gambia</t>
  </si>
  <si>
    <t>Gambia, The</t>
  </si>
  <si>
    <t>PCV9 vs NoVax</t>
  </si>
  <si>
    <t>PCV9</t>
  </si>
  <si>
    <t>World Bank AMC</t>
  </si>
  <si>
    <t xml:space="preserve">USD 670 DALY averted </t>
  </si>
  <si>
    <t xml:space="preserve">USD 910 DALY averted </t>
  </si>
  <si>
    <t>PCV10 vs NoVax</t>
  </si>
  <si>
    <t>PCV13 vs NoVax</t>
  </si>
  <si>
    <t xml:space="preserve">USD 570 DALY averted </t>
  </si>
  <si>
    <t>tentative Advance Market Commitment (AMC) price</t>
  </si>
  <si>
    <t>reduction of IPD and pneumonia rates</t>
  </si>
  <si>
    <t>adjust efficacy estimates against endpoints</t>
  </si>
  <si>
    <t>PCV9 trial data</t>
  </si>
  <si>
    <t xml:space="preserve">USD 630 DALY averted </t>
  </si>
  <si>
    <t>Same notes as Che 2014</t>
  </si>
  <si>
    <t xml:space="preserve">USD 430 DALY averted </t>
  </si>
  <si>
    <t xml:space="preserve">USD 370 DALY averted </t>
  </si>
  <si>
    <t>Urueña</t>
  </si>
  <si>
    <t>Cost-effectiveness analysis of the 10- and 13-valent pneumococcal conjugate vaccines in Argentina</t>
  </si>
  <si>
    <t>Argentina</t>
  </si>
  <si>
    <t>vaccine manufacturers</t>
  </si>
  <si>
    <t xml:space="preserve">USD 8973 DALY averted </t>
  </si>
  <si>
    <t xml:space="preserve">USD 8546 DALY averted </t>
  </si>
  <si>
    <t xml:space="preserve">USD 10948 DALY averted </t>
  </si>
  <si>
    <t xml:space="preserve">USD 10510 DALY averted </t>
  </si>
  <si>
    <t>PCV13 vs PCV10</t>
  </si>
  <si>
    <t>vaccine manufactures</t>
  </si>
  <si>
    <t xml:space="preserve">USD 28147 DALY averted </t>
  </si>
  <si>
    <t xml:space="preserve">USD 27614 DALY averted </t>
  </si>
  <si>
    <t>Touray</t>
  </si>
  <si>
    <t>The cost effectiveness of pneumococcal conjugate vaccine in the routine infant immunisation programme of The Gambia</t>
  </si>
  <si>
    <t>Assumptions of the Advanced Market Commitment (AMC) 2007</t>
  </si>
  <si>
    <t>USD 26 DALY averted</t>
  </si>
  <si>
    <t>[Informal] USD 8.037 million. Incremental cost of USD 6.337 million</t>
  </si>
  <si>
    <t>Ayieko</t>
  </si>
  <si>
    <t>Assessment of health benefits and cost-effectiveness of 10-valent and 13-valent pneumococcal conjugate vaccination in Kenyan children</t>
  </si>
  <si>
    <t>Kenya</t>
  </si>
  <si>
    <t>2 Dose</t>
  </si>
  <si>
    <t>USD 59 DALY averted</t>
  </si>
  <si>
    <t>USD 47 DALY averted</t>
  </si>
  <si>
    <t>increased incidence of pneumonia among vaxxed</t>
  </si>
  <si>
    <t>USD 32 DALY averted</t>
  </si>
  <si>
    <t>USD 25 DALY averted</t>
  </si>
  <si>
    <t>Gargano</t>
  </si>
  <si>
    <t>Pneumonia Prevention during a Humanitarian Emergency: Cost-effectiveness of Haemophilus Influenzae Type B Conjugate Vaccine and Pneumococcal Conjugate Vaccine in Somalia</t>
  </si>
  <si>
    <t>Somalia</t>
  </si>
  <si>
    <t>1 Dose</t>
  </si>
  <si>
    <t>adjusted PCV9 trial data</t>
  </si>
  <si>
    <t>USD 114.84 DALY averted</t>
  </si>
  <si>
    <t>USD 161.51 DALY averted</t>
  </si>
  <si>
    <t>Sibak</t>
  </si>
  <si>
    <t>Cost-effectiveness analysis of the introduction of the pneumococcal conjugate vaccine (PCV-13) in the Egyptian national immunization program, 2013</t>
  </si>
  <si>
    <t>Egypt, Arab Rep.</t>
  </si>
  <si>
    <t>Local company importation price</t>
  </si>
  <si>
    <t>5.5% per year - what was the source??</t>
  </si>
  <si>
    <t>Meta analysis from several trials, and other studies</t>
  </si>
  <si>
    <t>USD 3916 DALY averted</t>
  </si>
  <si>
    <t>Cost-effectiveness analysis of 10- and 13-valent pneumococcal conjugate vaccines in Peru</t>
  </si>
  <si>
    <t>Peru</t>
  </si>
  <si>
    <t>USD 1605 DALY averted</t>
  </si>
  <si>
    <t>USD 401 million over 2012-2031. Incremental USD 37.385 million savings over 2012-2031.</t>
  </si>
  <si>
    <t>USD 1304 DALY averted</t>
  </si>
  <si>
    <t>USD 455 million over 2012-2031. Incremental USD 47.220 million savings over 2012-2031.</t>
  </si>
  <si>
    <t>USD 519 DALY averted</t>
  </si>
  <si>
    <t>USD 54.8 million over 2012-2031. Incremental USD  9.834 million savings over 2012-2031.</t>
  </si>
  <si>
    <t>Pneumonia prevention: Cost-effectiveness analyses of two vaccines among refugee children aged under two years, Haemophilus influenzae type b-containing and pneumococcal conjugate vaccines, during a humanitarian emergency, Yida camp, South Sudan</t>
  </si>
  <si>
    <t>South Sudan</t>
  </si>
  <si>
    <t>MSF</t>
  </si>
  <si>
    <t>USD 148 DALY averted</t>
  </si>
  <si>
    <t>USD 210 DALY averted</t>
  </si>
  <si>
    <t>Kupek</t>
  </si>
  <si>
    <t>Postintroduction Study of Cost Effectiveness of Pneumococcal Vaccine PCV10 from Public Sector Payer''s Perspective in the State of Santa Catarina, Brazil</t>
  </si>
  <si>
    <t>USD 27748 DALY averted</t>
  </si>
  <si>
    <t>Lara</t>
  </si>
  <si>
    <t>Cost-Effectiveness Analysis of Pneumococcal and Influenza Vaccines Administered to Children Less Than 5 Years of Age in a Low-Income District of Bogota, Colombia</t>
  </si>
  <si>
    <t>Colombia</t>
  </si>
  <si>
    <t>Intl Dollars</t>
  </si>
  <si>
    <t>International</t>
  </si>
  <si>
    <t>I$ 1417 DALY averted</t>
  </si>
  <si>
    <t>I$ 1301 DALY averted</t>
  </si>
  <si>
    <t>Kebede</t>
  </si>
  <si>
    <t>Cost-effectiveness of childhood pneumococcal vaccination program in Ethiopia: results from a quasi-experimental evaluation</t>
  </si>
  <si>
    <t>Ethiopia</t>
  </si>
  <si>
    <t>PCV10 vs NoVax (including 1st year of life)</t>
  </si>
  <si>
    <t>USD 413.8 DALY averted</t>
  </si>
  <si>
    <t>Undiscounted</t>
  </si>
  <si>
    <t>PCV10 vs NoVax (excluding 1st year of life)</t>
  </si>
  <si>
    <t>USD 292.7 DALY averted</t>
  </si>
  <si>
    <t>Discounted</t>
  </si>
  <si>
    <t>Ojal</t>
  </si>
  <si>
    <t>Sustaining pneumococcal vaccination after transitioning from Gavi support: a modelling and cost-effectiveness study in Kenya</t>
  </si>
  <si>
    <t>4 dose</t>
  </si>
  <si>
    <t>USD 153 DALY averted</t>
  </si>
  <si>
    <t>[Informal] USD 15.9 million av. per year. Double immunization spending (0.8% to 1.6%)</t>
  </si>
  <si>
    <t>NoVax = Discontinuing vaccination</t>
  </si>
  <si>
    <t>Ezoji</t>
  </si>
  <si>
    <t>Cost-effectiveness of introducing the pneumococcal conjugate vaccine for children under 5 years in the Islamic Republic of Iran</t>
  </si>
  <si>
    <t>Iran, Islamic Rep.</t>
  </si>
  <si>
    <t>USD 1890 DALY averted</t>
  </si>
  <si>
    <t>Also mentioned three GDPpc</t>
  </si>
  <si>
    <t>USD 1538 DALY averted</t>
  </si>
  <si>
    <t>Fariñas</t>
  </si>
  <si>
    <t>Cost-effectiveness of introducing a domestic pneumococcal conjugate vaccine (PCV7-TT) into the Cuban national immunization programme</t>
  </si>
  <si>
    <t>Cuba</t>
  </si>
  <si>
    <t>Cuban peso</t>
  </si>
  <si>
    <t>state-owned vaccine manufacturer</t>
  </si>
  <si>
    <t>CUP 374 DALY averted</t>
  </si>
  <si>
    <t>Bakir</t>
  </si>
  <si>
    <t>Cost-effectiveness of new pneumococcal conjugate vaccines in Turkey: a decision analytical model.</t>
  </si>
  <si>
    <t>Turkey</t>
  </si>
  <si>
    <t>13-Valent PCV vs PCV7</t>
  </si>
  <si>
    <t>Not provided</t>
  </si>
  <si>
    <t>IPD, adjusted PCV7 trial data; AOM, PCV7 data for PCV7 and PCV10 data for PCV10/13</t>
  </si>
  <si>
    <t>USD 3,483,803 saved and 2223 QALY gained</t>
  </si>
  <si>
    <t>PCV10 vs PCV13</t>
  </si>
  <si>
    <t>USD 8,235,010 saved and -933 QALY</t>
  </si>
  <si>
    <t>PCV10 vs PCV7</t>
  </si>
  <si>
    <t>USD 11,718,813 saved and 3156 QALY gained</t>
  </si>
  <si>
    <t>Castañeda-Orjuela</t>
  </si>
  <si>
    <t>Cost-effectiveness of pneumococcal conjugate vaccines of 7, 10, and 13 valences in Colombian children.</t>
  </si>
  <si>
    <t>Assumption</t>
  </si>
  <si>
    <t>adjusted PCV7 trial data</t>
  </si>
  <si>
    <t>Dominated LYG</t>
  </si>
  <si>
    <t>LY gained</t>
  </si>
  <si>
    <t>Ministry of Health</t>
  </si>
  <si>
    <t>Not calculated LYG</t>
  </si>
  <si>
    <t>USD 9516 LYG</t>
  </si>
  <si>
    <t>Cost-effectiveness and cost utility analysis of three pneumococcal conjugate vaccines in children of Peru.</t>
  </si>
  <si>
    <t>USD 6014 QALY gained</t>
  </si>
  <si>
    <t>USD 5327 QALY gained</t>
  </si>
  <si>
    <t>USD 4500 QALY gained</t>
  </si>
  <si>
    <t>USD -2727 QALY gained</t>
  </si>
  <si>
    <t>PCV13 vs PCV7</t>
  </si>
  <si>
    <t>Dominated QALY gained</t>
  </si>
  <si>
    <t>Kieninger</t>
  </si>
  <si>
    <t>Cost-effectiveness analysis of pneumococcal conjugate vaccine introduction in Paraguay.</t>
  </si>
  <si>
    <t>Paraguay</t>
  </si>
  <si>
    <t>systematic reviews</t>
  </si>
  <si>
    <t>USD 3851 DALY averted</t>
  </si>
  <si>
    <t>[Informal] Immunization budget would increase by 43%, equivalent to 4% Ministry of Public Health total budget</t>
  </si>
  <si>
    <t>USD 1920 DALY averted</t>
  </si>
  <si>
    <t>USD 4901 DALY averted</t>
  </si>
  <si>
    <t>[Informal] Immunization budget would increase by 57%, equivalent to 6% Ministry of Public Health total budget</t>
  </si>
  <si>
    <t>USD 3657 DALY averted</t>
  </si>
  <si>
    <t>USD 12181 DALY averted</t>
  </si>
  <si>
    <t>USD 15696 DALY averted</t>
  </si>
  <si>
    <t>Komakhidze</t>
  </si>
  <si>
    <t>Cost-effectiveness of pneumococcal conjugate vaccination in Georgia.</t>
  </si>
  <si>
    <t>Georgia</t>
  </si>
  <si>
    <t>MoH assumption</t>
  </si>
  <si>
    <t>5.5% per year</t>
  </si>
  <si>
    <t>Studies and clinical trial data</t>
  </si>
  <si>
    <t>USD 1599 DALY averted</t>
  </si>
  <si>
    <t>Based on PCV7 data</t>
  </si>
  <si>
    <t>Not available (only shown in a figure)</t>
  </si>
  <si>
    <t>Ordóñez</t>
  </si>
  <si>
    <t>Cost-effectiveness analysis of the available pneumococcal conjugated vaccines for children under five years in Colombia</t>
  </si>
  <si>
    <t>USD 489.26 LYG</t>
  </si>
  <si>
    <t>USD 813.41 LYG</t>
  </si>
  <si>
    <t>USD -417.53 LYG</t>
  </si>
  <si>
    <t>Sartori</t>
  </si>
  <si>
    <t>Cost-effectiveness of introducing the 10-valent pneumococcal conjugate vaccine into the universal immunisation of infants in Brazil.</t>
  </si>
  <si>
    <t>Brazilian National Immunisation</t>
  </si>
  <si>
    <t>R$ 22066 DALY averted</t>
  </si>
  <si>
    <t>R$ 24930 DALY averted</t>
  </si>
  <si>
    <t>Türel</t>
  </si>
  <si>
    <t>Potential cost-effectiveness of pneumococcal conjugate vaccine (PCV) in Turkey.</t>
  </si>
  <si>
    <t>7-valent PCV</t>
  </si>
  <si>
    <t>USD 7109 LYG</t>
  </si>
  <si>
    <t>10-valent PCV</t>
  </si>
  <si>
    <t>USD 6784 LYG</t>
  </si>
  <si>
    <t>13-valent PCV</t>
  </si>
  <si>
    <t>USD 6696 LYG</t>
  </si>
  <si>
    <t>Guzmán</t>
  </si>
  <si>
    <t>Cost effectiveness of heptavalent pneumococcal conjugate vaccine in populations of high risk in Colombia</t>
  </si>
  <si>
    <t>USD 752 LYG</t>
  </si>
  <si>
    <t>Marti</t>
  </si>
  <si>
    <t>A cost-effectiveness analysis of a 10-valent pneumococcal conjugate vaccine in children in six Latin American countries</t>
  </si>
  <si>
    <t>Higher than PAHO USD 14</t>
  </si>
  <si>
    <t>USD 3347.53 QALY gained</t>
  </si>
  <si>
    <t>USD 1509.59 QALY gained</t>
  </si>
  <si>
    <t>USD 3295.13 QALY gained</t>
  </si>
  <si>
    <t>USD 1454.51 QALY gained</t>
  </si>
  <si>
    <t>USD 7088.64 QALY gained</t>
  </si>
  <si>
    <t>USD 4810.99 QALY gained</t>
  </si>
  <si>
    <t>USD 6293.05 QALY gained</t>
  </si>
  <si>
    <t>USD 4024.69 QALY gained</t>
  </si>
  <si>
    <t>USD 4021.37 QALY gained</t>
  </si>
  <si>
    <t>USD 2433.32 QALY gained</t>
  </si>
  <si>
    <t>USD 3885.80 QALY gained</t>
  </si>
  <si>
    <t>USD 2295.77 QALY gained</t>
  </si>
  <si>
    <t>Mexico</t>
  </si>
  <si>
    <t>USD 4594.33 QALY gained</t>
  </si>
  <si>
    <t>USD 3243.41 QALY gained</t>
  </si>
  <si>
    <t>USD 4144.01 QALY gained</t>
  </si>
  <si>
    <t>USD 2790.71 QALY gained</t>
  </si>
  <si>
    <t>USD 2975.23 QALY gained</t>
  </si>
  <si>
    <t>USD 1535.87 QALY gained</t>
  </si>
  <si>
    <t>USD 2920.73 QALY gained</t>
  </si>
  <si>
    <t>USD 1478.95 QALY gained</t>
  </si>
  <si>
    <t xml:space="preserve">PCV7 vs NoVax </t>
  </si>
  <si>
    <t>USD 5599.42 LYG</t>
  </si>
  <si>
    <t>USD 139.66 million over 5 years. Incremental USD 5.35 million savings over 5 years</t>
  </si>
  <si>
    <t>USD 2821.83 LYG</t>
  </si>
  <si>
    <t>USD 728.24 million over 5 years. Incremental USD 22.01 million savings over 5 years</t>
  </si>
  <si>
    <t>USD 5827.76 LYG</t>
  </si>
  <si>
    <t>PHiD-CV vs PCV7</t>
  </si>
  <si>
    <t>Mexican peso</t>
  </si>
  <si>
    <t>Altering the incidence of disease for all age groups</t>
  </si>
  <si>
    <t>Unclear; from a previous article</t>
  </si>
  <si>
    <t>Mex$ 228.8m savings, 242.1 QALY gained</t>
  </si>
  <si>
    <t>NS</t>
  </si>
  <si>
    <t>Cost saving</t>
  </si>
  <si>
    <t>Ecuador</t>
  </si>
  <si>
    <t xml:space="preserve">PCV10 vs NoVax </t>
  </si>
  <si>
    <t>PAHO revolving fund</t>
  </si>
  <si>
    <t>IPD/pneumonia, adjusted PCV7 trial data. AOM, PCV10 trial data</t>
  </si>
  <si>
    <t>I$ 1340 DALY averted ($16 per dose)</t>
  </si>
  <si>
    <t xml:space="preserve">PCV13 vs NoVax </t>
  </si>
  <si>
    <t>IPD/pneumonia/AOM, adjusted PCV7 trial data</t>
  </si>
  <si>
    <t>I$ 1166 DALY averted  ($16 per dose)</t>
  </si>
  <si>
    <t>Honduras</t>
  </si>
  <si>
    <t>I$ 796 DALY averted  ($16 per dose)</t>
  </si>
  <si>
    <t>I$ 691 DALY averted  ($16 per dose)</t>
  </si>
  <si>
    <t>I$ 1226 DALY averted  ($16 per dose)</t>
  </si>
  <si>
    <t>I$ 1026 DALY averted  ($16 per dose)</t>
  </si>
  <si>
    <t>MoH communication</t>
  </si>
  <si>
    <t>USD 2319 YLS</t>
  </si>
  <si>
    <t>USD 1770 YLS</t>
  </si>
  <si>
    <t xml:space="preserve">PCV13 vs PCV10 </t>
  </si>
  <si>
    <t>USD 2217 YLS</t>
  </si>
  <si>
    <t>PCV13 vs PHiD-CV</t>
  </si>
  <si>
    <t>Euro</t>
  </si>
  <si>
    <t>Euro area</t>
  </si>
  <si>
    <t>Turkish Medicine and Medical Device Agency</t>
  </si>
  <si>
    <t>Trial data</t>
  </si>
  <si>
    <t>€ 635340 &amp; -176 QALY</t>
  </si>
  <si>
    <t>Tunisia</t>
  </si>
  <si>
    <t xml:space="preserve">USD 848 QALY gained </t>
  </si>
  <si>
    <t>USD 1366 QALY gained</t>
  </si>
  <si>
    <t>Algeria</t>
  </si>
  <si>
    <t>USD 308 QALY gained</t>
  </si>
  <si>
    <t>USD 731 QALY gained</t>
  </si>
  <si>
    <t xml:space="preserve">Observed historic trends in incidence and serotypes </t>
  </si>
  <si>
    <t>$59,836,109 saved &amp; 6406 QALY</t>
  </si>
  <si>
    <t>Gavi</t>
  </si>
  <si>
    <t>[Informal] USD 0.13 million av. per year. Incremental USD 0.14 million savings av. per year</t>
  </si>
  <si>
    <t>PAHO expanded program on immunization</t>
  </si>
  <si>
    <t>using real-world effectiveness data to predict future IPD</t>
  </si>
  <si>
    <t xml:space="preserve">historical data-driven </t>
  </si>
  <si>
    <t>PHP12274777282 saved &amp; 153,349 QALY</t>
  </si>
  <si>
    <t>PHP 150,000</t>
  </si>
  <si>
    <t>PCV13-PFE vs PCV10-SII</t>
  </si>
  <si>
    <t>PHP  7383473851 saved &amp; 187,084 QALY</t>
  </si>
  <si>
    <t>Ministry of Health prices published on the Federal Official Gazette</t>
  </si>
  <si>
    <t>R$172,101,081 saved &amp; 20317 QALY</t>
  </si>
  <si>
    <t>Indonesia</t>
  </si>
  <si>
    <t>PCV13 vs NoVax at Unicef price</t>
  </si>
  <si>
    <t>Healthcare</t>
  </si>
  <si>
    <t>UNICEF</t>
  </si>
  <si>
    <t xml:space="preserve">USD 162 QALY gained </t>
  </si>
  <si>
    <t>USD 323.8 over 2019-2024. 1.2% of health budget. 10.2% of routine immunization budget</t>
  </si>
  <si>
    <t xml:space="preserve">USD 154 QALY gained </t>
  </si>
  <si>
    <t>Payer</t>
  </si>
  <si>
    <t xml:space="preserve">USD 122 QALY gained </t>
  </si>
  <si>
    <t>PCV13 vs NoVax at Government price</t>
  </si>
  <si>
    <t>Government contract price</t>
  </si>
  <si>
    <t xml:space="preserve">USD 747 QALY gained </t>
  </si>
  <si>
    <t>USD 1160.5 over 2019-2024. 4.2% of health budget. 36.7% of routine immunization budget</t>
  </si>
  <si>
    <t xml:space="preserve">USD 739 QALY gained </t>
  </si>
  <si>
    <t xml:space="preserve">USD 707 QALY gained </t>
  </si>
  <si>
    <t>PCV10 vs NoVax at Unicef Price</t>
  </si>
  <si>
    <t xml:space="preserve">USD 218 QALY gained </t>
  </si>
  <si>
    <t xml:space="preserve">USD 210 QALY gained </t>
  </si>
  <si>
    <t xml:space="preserve">USD 178 QALY gained </t>
  </si>
  <si>
    <t>PCV10 vs NoVax at Government price</t>
  </si>
  <si>
    <t xml:space="preserve">USD 987 QALY gained </t>
  </si>
  <si>
    <t xml:space="preserve">USD 979 QALY gained </t>
  </si>
  <si>
    <t xml:space="preserve">USD 948 QALY gained </t>
  </si>
  <si>
    <t xml:space="preserve">Domestic PCV13 vs No vaccine </t>
  </si>
  <si>
    <t>Government reports</t>
  </si>
  <si>
    <t xml:space="preserve">USD 15394 QALY gained </t>
  </si>
  <si>
    <t xml:space="preserve">USD 9292 QALY gained </t>
  </si>
  <si>
    <t xml:space="preserve">USD 4445 QALY gained </t>
  </si>
  <si>
    <t xml:space="preserve">USD 2417 QALY gained </t>
  </si>
  <si>
    <t>Shafie</t>
  </si>
  <si>
    <t>Estimating the population health and economic impacts of introducing a pneumococcal conjugate vaccine in Malaysia- an economic evaluation</t>
  </si>
  <si>
    <t>USD 89,904,777 saved &amp; 2280 QALY</t>
  </si>
  <si>
    <t>Impact on IPD only (both vaccines) - base case</t>
  </si>
  <si>
    <t>USD 448,382,729 saved &amp; 6008 QALY</t>
  </si>
  <si>
    <t>USD 60,501,015 saved &amp; 2280 QALY</t>
  </si>
  <si>
    <t>reduction of IPD/pneumonia rates</t>
  </si>
  <si>
    <t>USD 198,277,289 saved &amp; 2739 QALY</t>
  </si>
  <si>
    <t>Indirect effects of pneumonia included (both vaccines)</t>
  </si>
  <si>
    <t>reduction of IPD/AOM rates</t>
  </si>
  <si>
    <t>USD 173,261,339 saved &amp; 2560 QALY</t>
  </si>
  <si>
    <t>Impact on AOM due to NTHi included (both vaccines)</t>
  </si>
  <si>
    <t>Wasserman</t>
  </si>
  <si>
    <t>Modeling the sustained use of the 13-valent pneumococcal conjugate vaccine compared to switching to the 10-valent vaccine in Mexico</t>
  </si>
  <si>
    <t>Maintaining PCV13 vs Switching to PCV10</t>
  </si>
  <si>
    <t>PAHO EPI</t>
  </si>
  <si>
    <t>Mex$ 6,710,744,176 saved &amp; 1307 QALY</t>
  </si>
  <si>
    <t>Country</t>
  </si>
  <si>
    <t xml:space="preserve">           </t>
  </si>
  <si>
    <t>updated</t>
  </si>
  <si>
    <t>Others</t>
  </si>
  <si>
    <t>Total</t>
  </si>
  <si>
    <t>StudyID</t>
  </si>
  <si>
    <t>RAND</t>
  </si>
  <si>
    <t>RANDBETWEEN</t>
  </si>
  <si>
    <t>StudyNo</t>
  </si>
  <si>
    <t>AuthorYear</t>
  </si>
  <si>
    <t>Fariñas 2020</t>
  </si>
  <si>
    <t>Dilokthornsakul 2019</t>
  </si>
  <si>
    <t>Sundaram 2017</t>
  </si>
  <si>
    <t>Castañeda-Orjuela 2012</t>
  </si>
  <si>
    <t>Bakir 2012</t>
  </si>
  <si>
    <t>Türel 2013</t>
  </si>
  <si>
    <t>Zhang 2014</t>
  </si>
  <si>
    <t>Gargano 2015</t>
  </si>
  <si>
    <t>Sibak 2015</t>
  </si>
  <si>
    <t>Mezones 2014</t>
  </si>
  <si>
    <t>RatioID</t>
  </si>
  <si>
    <t>UniqueID</t>
  </si>
  <si>
    <t>InterventionPhrase</t>
  </si>
  <si>
    <t>Intervention</t>
  </si>
  <si>
    <t>Comparator</t>
  </si>
  <si>
    <t>DosePhrase</t>
  </si>
  <si>
    <t>DoseNum</t>
  </si>
  <si>
    <t>HerdEffects</t>
  </si>
  <si>
    <t>Perspective</t>
  </si>
  <si>
    <t>Currency</t>
  </si>
  <si>
    <t>CurrencyYear</t>
  </si>
  <si>
    <t>ICERPhrase</t>
  </si>
  <si>
    <t>ICER_study</t>
  </si>
  <si>
    <t>ICER_dollar</t>
  </si>
  <si>
    <t>OneGDPpcAmount</t>
  </si>
  <si>
    <t>OneGDPpcDecision</t>
  </si>
  <si>
    <t>ThreeGDPpcDecision</t>
  </si>
  <si>
    <t>PercentGDPpc</t>
  </si>
  <si>
    <t>OchalekThresholdHigh</t>
  </si>
  <si>
    <t>OchalekDecisionHigh</t>
  </si>
  <si>
    <t>OchalekThresholdLow</t>
  </si>
  <si>
    <t>OchalekDecisionLow</t>
  </si>
  <si>
    <t>WoodsThreshold High</t>
  </si>
  <si>
    <t>WoodsDecisionHigh</t>
  </si>
  <si>
    <t>WoodsThreshold Low</t>
  </si>
  <si>
    <t>WoodsDecisionLow</t>
  </si>
  <si>
    <t>StudyThreshold</t>
  </si>
  <si>
    <t>StudyDecision</t>
  </si>
  <si>
    <t>NotesComments</t>
  </si>
  <si>
    <t>Classification</t>
  </si>
  <si>
    <t>PCV7 vs. No Vaccination</t>
  </si>
  <si>
    <t>US Dollars</t>
  </si>
  <si>
    <t>US$ 530,354</t>
  </si>
  <si>
    <t>low, lower middle, upper middle</t>
  </si>
  <si>
    <t>US$ 95,319</t>
  </si>
  <si>
    <t>US$ 2,125</t>
  </si>
  <si>
    <t>US$ 18,224</t>
  </si>
  <si>
    <t>PCV10-GSK vs. No Vaccination</t>
  </si>
  <si>
    <t>US$ 16,664</t>
  </si>
  <si>
    <t>PCV13-PFE vs. No Vaccination</t>
  </si>
  <si>
    <t>US$ 11,436</t>
  </si>
  <si>
    <t>US$ 104,094</t>
  </si>
  <si>
    <t>US$ 29,460</t>
  </si>
  <si>
    <t>Chinese Yuan</t>
  </si>
  <si>
    <t>¥ 79,304/ (direct)</t>
  </si>
  <si>
    <t>¥ 76,551/ (direct + indirect IPD)</t>
  </si>
  <si>
    <t>¥ 3,777/ (direct + indirect IPD + PNE)</t>
  </si>
  <si>
    <t>US$ 20,709</t>
  </si>
  <si>
    <t>US$ 18,483</t>
  </si>
  <si>
    <t>US$ 10,261</t>
  </si>
  <si>
    <t>US$ 9,406</t>
  </si>
  <si>
    <t>PCV10-GSK vs. PCV13-PFE</t>
  </si>
  <si>
    <t>US$ 61061.49</t>
  </si>
  <si>
    <t>Study decision no longer applicable because of recalculation</t>
  </si>
  <si>
    <t>NC to check</t>
  </si>
  <si>
    <t>US$ 28,497</t>
  </si>
  <si>
    <t>US$ 44907.6</t>
  </si>
  <si>
    <t>US$ 21,438</t>
  </si>
  <si>
    <t>US$ 20,667</t>
  </si>
  <si>
    <t>US$ 6,389</t>
  </si>
  <si>
    <t>US$ 4,883</t>
  </si>
  <si>
    <t>PCV13-PFE vs. PCV10-GSK</t>
  </si>
  <si>
    <t>US$ -3,059</t>
  </si>
  <si>
    <t>US$ -5,027</t>
  </si>
  <si>
    <t>US$ 15752</t>
  </si>
  <si>
    <t>US$ 14981</t>
  </si>
  <si>
    <t>US$ 467 DALY averted</t>
  </si>
  <si>
    <t>Php 68,182</t>
  </si>
  <si>
    <t>Php 120,000</t>
  </si>
  <si>
    <t>Php 112,640</t>
  </si>
  <si>
    <t>Php 54,510</t>
  </si>
  <si>
    <t>Php 84,654</t>
  </si>
  <si>
    <t>Php 15,795</t>
  </si>
  <si>
    <t>Php 23,836</t>
  </si>
  <si>
    <t xml:space="preserve">Php 50,913 </t>
  </si>
  <si>
    <t>Php -310274.66 (dominant)</t>
  </si>
  <si>
    <t>3 + 0 vaccine</t>
  </si>
  <si>
    <t>US$ -27 DALY averted (dominant)</t>
  </si>
  <si>
    <t>Also used Ochalek as secondary comparison</t>
  </si>
  <si>
    <t>US$ 52 DALY averted</t>
  </si>
  <si>
    <t>US$ 19 DALY averted</t>
  </si>
  <si>
    <t>US$ 79 DALY averted</t>
  </si>
  <si>
    <t>US$ 36</t>
  </si>
  <si>
    <t>US$ 40</t>
  </si>
  <si>
    <t>US$ 92</t>
  </si>
  <si>
    <t>Pneumococcal 7-valent conjugate vaccine</t>
  </si>
  <si>
    <t>US$ 664 DALY averted</t>
  </si>
  <si>
    <t>Pneumococcal 7-valentconjugate vaccine</t>
  </si>
  <si>
    <t xml:space="preserve">US$ 1546 DALY averted </t>
  </si>
  <si>
    <t>heptavalent pneumococcal conjugate vaccine </t>
  </si>
  <si>
    <t>Brazilian Real</t>
  </si>
  <si>
    <t xml:space="preserve">Healthcare/Payer </t>
  </si>
  <si>
    <t>9-valent pneumococcal conjugate vaccine</t>
  </si>
  <si>
    <t xml:space="preserve">US$ 670 DALY averted </t>
  </si>
  <si>
    <t>7-valent pneumococcal conjugate vaccine</t>
  </si>
  <si>
    <t xml:space="preserve">US$ 910 DALY averted </t>
  </si>
  <si>
    <t>10-valent pneumococcal conjugate vaccine</t>
  </si>
  <si>
    <t>13-valent pneumococcal conjugate vaccine</t>
  </si>
  <si>
    <t xml:space="preserve">US$ 570 DALY averted </t>
  </si>
  <si>
    <t xml:space="preserve">US$ 630 DALY averted </t>
  </si>
  <si>
    <t xml:space="preserve">US$ 430 DALY averted </t>
  </si>
  <si>
    <t xml:space="preserve">US$ 370 DALY averted </t>
  </si>
  <si>
    <t>Pneumococcal conjugate vaccine (10-valent)</t>
  </si>
  <si>
    <t xml:space="preserve">US$ 8973 DALY averted </t>
  </si>
  <si>
    <t>Mentioned one GDPpc, but used three GDPpc since ICER was above one</t>
  </si>
  <si>
    <t xml:space="preserve">US$ 8546 DALY averted </t>
  </si>
  <si>
    <t xml:space="preserve">US$ 10948 DALY averted </t>
  </si>
  <si>
    <t xml:space="preserve">US$ 10510 DALY averted </t>
  </si>
  <si>
    <t>Pneumococcal conjugate vaccine (13-valent)</t>
  </si>
  <si>
    <t xml:space="preserve">US$ 28147 DALY averted </t>
  </si>
  <si>
    <t>Pneumococcal vaccine</t>
  </si>
  <si>
    <t>US$ 26 DALY averted</t>
  </si>
  <si>
    <t>Pneumococcal vaccination (PCV10)</t>
  </si>
  <si>
    <t>US$ 59 DALY averted</t>
  </si>
  <si>
    <t>Pneumococcal vaccination (PCV13)</t>
  </si>
  <si>
    <t>US$ 47 DALY averted</t>
  </si>
  <si>
    <t>US$ 32 DALY averted</t>
  </si>
  <si>
    <t>US$ 25 DALY averted</t>
  </si>
  <si>
    <t>Pneumococcal conjugate vaccine 10 (PCV10) (1 dose)</t>
  </si>
  <si>
    <t>US$ 114.84 DALY averted</t>
  </si>
  <si>
    <t>Pneumococcal conjugate vaccine 10 (PCV10) (2 dose)</t>
  </si>
  <si>
    <t>US$ 161.51 DALY averted</t>
  </si>
  <si>
    <t>13- valent pneumococcal conjugate vaccine (PCV-13)</t>
  </si>
  <si>
    <t>US$ 3916 DALY averted</t>
  </si>
  <si>
    <t>US$ 1605 DALY averted</t>
  </si>
  <si>
    <t>US$ 1304 DALY averted</t>
  </si>
  <si>
    <t>PCV13 vs PCV 10</t>
  </si>
  <si>
    <t>US$ 519 DALY averted</t>
  </si>
  <si>
    <t>Pneumococcal conjugate vaccine - 1 dose</t>
  </si>
  <si>
    <t>US$ 148 DALY averted</t>
  </si>
  <si>
    <t>Pneumococcal conjugate vaccine - 2 dose</t>
  </si>
  <si>
    <t xml:space="preserve">No </t>
  </si>
  <si>
    <t>US$ 210 DALY averted</t>
  </si>
  <si>
    <t>10-valent pneumococcal conjugate vaccine immunization program</t>
  </si>
  <si>
    <t>US$ 27748 DALY averted</t>
  </si>
  <si>
    <t>State they are using one GDPpc but amount closer to three GDPpc</t>
  </si>
  <si>
    <t>State they are using three GDPpc but amount closer to one GDPpc</t>
  </si>
  <si>
    <t>10- valent pneumococcal conjugate vaccine (including 1st year of life)</t>
  </si>
  <si>
    <t>US$ 413.8 DALY averted</t>
  </si>
  <si>
    <t>10- valent pneumococcal conjugate vaccine (excluding 1st year of life)</t>
  </si>
  <si>
    <t>US$ 292.7 DALY averted</t>
  </si>
  <si>
    <t>Pneumococcal conjugate vaccine</t>
  </si>
  <si>
    <t>US$ 153 DALY averted</t>
  </si>
  <si>
    <t>pneumococcal conjugate vaccine-13</t>
  </si>
  <si>
    <t>US$ 1890 DALY averted</t>
  </si>
  <si>
    <t>US$ 1538 DALY averted</t>
  </si>
  <si>
    <t>Cost-effectiveness of introducing a domestic pneumococcal conjugate vaccine  (PCV7-TT) into the Cuban national immunization programme</t>
  </si>
  <si>
    <t>pneumococcal immunization</t>
  </si>
  <si>
    <t>Cuban Peso</t>
  </si>
  <si>
    <t>13-Valent PCV vs PCV 7</t>
  </si>
  <si>
    <t>US$ -2223 QALY gained</t>
  </si>
  <si>
    <t>none</t>
  </si>
  <si>
    <t>10-Valent Pneumococcal non typeable Haemophilus influenza protein D conjugate vaccine  vs PCV 13</t>
  </si>
  <si>
    <t>US$ -933 QALY gained</t>
  </si>
  <si>
    <t>No Threshold</t>
  </si>
  <si>
    <t>10-Valent Pneumococcal non typeable Haemophilus influenza protein D conjugate vaccine  vs PCV 7</t>
  </si>
  <si>
    <t>US$ -3156 QALY gained</t>
  </si>
  <si>
    <t>Pneumococcal conjugate vaccine (7valent)</t>
  </si>
  <si>
    <t>Dominated strategy - to exclude??</t>
  </si>
  <si>
    <t>US$ 9516 LYG</t>
  </si>
  <si>
    <t>PCV7 vs No Vaccination</t>
  </si>
  <si>
    <t>US$ 6014 QALY gained</t>
  </si>
  <si>
    <t>PCV13 vs No Vaccination</t>
  </si>
  <si>
    <t>US$ 5327 QALY gained</t>
  </si>
  <si>
    <t>PCV10 vs No Vaccination</t>
  </si>
  <si>
    <t>US$ 4500 QALY gained</t>
  </si>
  <si>
    <t>US$ -2727 QALY gained</t>
  </si>
  <si>
    <t>PCV 10 vs No Vaccination</t>
  </si>
  <si>
    <t>US$ 3851 DALY averted</t>
  </si>
  <si>
    <t>US$ 1920 DALY averted</t>
  </si>
  <si>
    <t>PCV 13 vs No Vaccination</t>
  </si>
  <si>
    <t>US$ 4901 DALY averted</t>
  </si>
  <si>
    <t>US$ 3657 DALY averted</t>
  </si>
  <si>
    <t>US$ 12181 DALY averted</t>
  </si>
  <si>
    <t>US$ 15696 DALY averted</t>
  </si>
  <si>
    <t>US$ 1599 DALY averted</t>
  </si>
  <si>
    <t>US$ 489.26 LYG</t>
  </si>
  <si>
    <t>Used both oneX and threeX GDP thresholds</t>
  </si>
  <si>
    <t>US$ 813.41 LYG</t>
  </si>
  <si>
    <t>PCV 10 vs PCV 13</t>
  </si>
  <si>
    <t>US$ -417.53 LYG</t>
  </si>
  <si>
    <t>US$ 7109 LYG</t>
  </si>
  <si>
    <t>US$ 6784 LYG</t>
  </si>
  <si>
    <t>US$ 6696 LYG</t>
  </si>
  <si>
    <t>3 dose</t>
  </si>
  <si>
    <t>US$ 752 LYG</t>
  </si>
  <si>
    <t>US$ 3347.53 QALY gained</t>
  </si>
  <si>
    <t>US$ 1509.59 QALY gained</t>
  </si>
  <si>
    <t>US$ 3295.13 QALY gained</t>
  </si>
  <si>
    <t>US$ 1454.51 QALY gained</t>
  </si>
  <si>
    <t>US$ 7088.64 QALY gained</t>
  </si>
  <si>
    <t>US$ 4810.99 QALY gained</t>
  </si>
  <si>
    <t>US$ 6293.05 QALY gained</t>
  </si>
  <si>
    <t>US$ 4024.69 QALY gained</t>
  </si>
  <si>
    <t>US$ 4021.37 QALY gained</t>
  </si>
  <si>
    <t>US$ 2433.32 QALY gained</t>
  </si>
  <si>
    <t>US$ 3885.80 QALY gained</t>
  </si>
  <si>
    <t>US$ 2295.77 QALY gained</t>
  </si>
  <si>
    <t>US$ 4594.33 QALY gained</t>
  </si>
  <si>
    <t>US$ 3243.41 QALY gained</t>
  </si>
  <si>
    <t>US$ 4144.01 QALY gained</t>
  </si>
  <si>
    <t>US$ 2790.71 QALY gained</t>
  </si>
  <si>
    <t>US$ 2975.23 QALY gained</t>
  </si>
  <si>
    <t>US$ 1535.87 QALY gained</t>
  </si>
  <si>
    <t>US$ 2920.73 QALY gained</t>
  </si>
  <si>
    <t>US$ 1478.95 QALY gained</t>
  </si>
  <si>
    <t>Cost-effectiveness of the CRM-based 7-valent pneumococcal conjugated vaccine (PCV5) in Argentina</t>
  </si>
  <si>
    <t xml:space="preserve">PCV7 vs No Vaccination </t>
  </si>
  <si>
    <t>US$ 5599.42 LYG</t>
  </si>
  <si>
    <t>US$ 2821.83 LYG</t>
  </si>
  <si>
    <t>Healthcare/Public</t>
  </si>
  <si>
    <t>US$ 5827.76 LYG</t>
  </si>
  <si>
    <t>Healthcare/Private</t>
  </si>
  <si>
    <t>US$ 5777.68 LYG</t>
  </si>
  <si>
    <t>Effectiveness</t>
  </si>
  <si>
    <t>US$ 3412.06 LYG</t>
  </si>
  <si>
    <t xml:space="preserve">Outcomes and costs associated with PHiD-CV, a new protein D conjugate pneumococcal vaccine, in four countries. </t>
  </si>
  <si>
    <t>Mexico Pesos</t>
  </si>
  <si>
    <t xml:space="preserve">PCV10 vs No Vaccination </t>
  </si>
  <si>
    <t xml:space="preserve">Societal </t>
  </si>
  <si>
    <t xml:space="preserve">PCV13 vs No Vaccination </t>
  </si>
  <si>
    <t>US$ 2319 YLS</t>
  </si>
  <si>
    <t>US$ 1770 YLS</t>
  </si>
  <si>
    <t>US$ 2217 YLS</t>
  </si>
  <si>
    <t>Euros</t>
  </si>
  <si>
    <t>€ 635340 saved &amp; 176 QALY</t>
  </si>
  <si>
    <t xml:space="preserve">US$ 848 QALY gained </t>
  </si>
  <si>
    <t>US$ 1366 QALY gained</t>
  </si>
  <si>
    <t>US$ 308 QALY gained</t>
  </si>
  <si>
    <t>US$ 731 QALY gained</t>
  </si>
  <si>
    <t xml:space="preserve">US$ 91 DALY averted </t>
  </si>
  <si>
    <t xml:space="preserve">US$ 56 DALY averted </t>
  </si>
  <si>
    <t>Phillipines Pesos</t>
  </si>
  <si>
    <t>Brazilian Reals</t>
  </si>
  <si>
    <t>PCV13 vs No Vaccination at Unicef price</t>
  </si>
  <si>
    <t xml:space="preserve">US$ 162 QALY gained </t>
  </si>
  <si>
    <r>
      <t>Mentioned three GDPpc, but used one since ICER was below one;</t>
    </r>
    <r>
      <rPr>
        <sz val="10"/>
        <color rgb="FF00B050"/>
        <rFont val="Arial"/>
        <family val="2"/>
      </rPr>
      <t xml:space="preserve"> study mentions below 1xGPD/capita as "highly cost-effective" but 3xGDP/capita as "cost-effective"</t>
    </r>
  </si>
  <si>
    <t xml:space="preserve">US$ 154 QALY gained </t>
  </si>
  <si>
    <t xml:space="preserve">US$ 122 QALY gained </t>
  </si>
  <si>
    <t>PCV13 vs No Vaccination at Government contract price</t>
  </si>
  <si>
    <t xml:space="preserve">US$ 747 QALY gained </t>
  </si>
  <si>
    <t xml:space="preserve">US$ 739 QALY gained </t>
  </si>
  <si>
    <t xml:space="preserve">US$ 707 QALY gained </t>
  </si>
  <si>
    <t>PCV10 vs No Vaccination at Unicef Price</t>
  </si>
  <si>
    <t xml:space="preserve">US$ 218 QALY gained </t>
  </si>
  <si>
    <t xml:space="preserve">US$ 210 QALY gained </t>
  </si>
  <si>
    <t xml:space="preserve">US$ 178 QALY gained </t>
  </si>
  <si>
    <t>PCV10 vs No Vaccination at Government Contract Price</t>
  </si>
  <si>
    <t xml:space="preserve">US$ 987 QALY gained </t>
  </si>
  <si>
    <t>PCV10 vs No Vaccination at Government contract Price</t>
  </si>
  <si>
    <t xml:space="preserve">US$ 979 QALY gained </t>
  </si>
  <si>
    <t xml:space="preserve">US$ 948 QALY gained </t>
  </si>
  <si>
    <t xml:space="preserve">US Dollars </t>
  </si>
  <si>
    <t xml:space="preserve">US$ 15394 QALY gained </t>
  </si>
  <si>
    <t xml:space="preserve">US$ 9292 QALY gained </t>
  </si>
  <si>
    <t xml:space="preserve">US$ 4445 QALY gained </t>
  </si>
  <si>
    <t xml:space="preserve">US$ 2417 QALY gained </t>
  </si>
  <si>
    <t>Edi - see my corrections in green</t>
  </si>
  <si>
    <t>Later:</t>
  </si>
  <si>
    <t>to include mutli country studies</t>
  </si>
  <si>
    <r>
      <rPr>
        <b/>
        <sz val="10"/>
        <rFont val="Arial"/>
        <family val="2"/>
      </rPr>
      <t>Tasslimi.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 effectiveness of child pneumococcal conjugate vaccination in GAVI-eligible countries</t>
    </r>
  </si>
  <si>
    <t xml:space="preserve"> </t>
  </si>
  <si>
    <r>
      <rPr>
        <b/>
        <sz val="10"/>
        <rFont val="Arial"/>
        <family val="2"/>
      </rPr>
      <t xml:space="preserve">Sinha. </t>
    </r>
    <r>
      <rPr>
        <i/>
        <sz val="10"/>
        <rFont val="Arial"/>
        <family val="2"/>
      </rPr>
      <t>Cost-effectiveness of pneumococcal conjugate vaccination in the prevention of child mortality: an international economic analysis</t>
    </r>
  </si>
  <si>
    <r>
      <rPr>
        <b/>
        <sz val="10"/>
        <rFont val="Arial"/>
        <family val="2"/>
      </rPr>
      <t>Sinha.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Cost-effectiveness of pneumococcal conjugate vaccination in Latin America and the Caribbean: a regional analysis</t>
    </r>
  </si>
  <si>
    <r>
      <rPr>
        <b/>
        <sz val="10"/>
        <rFont val="Arial"/>
        <family val="2"/>
      </rPr>
      <t xml:space="preserve">Nakamura. </t>
    </r>
    <r>
      <rPr>
        <i/>
        <sz val="10"/>
        <rFont val="Arial"/>
        <family val="2"/>
      </rPr>
      <t>Cost effectiveness of child pneumococcal conjugate vaccination in middle-income countries</t>
    </r>
  </si>
  <si>
    <t>For discussion: why don't they report at country-level</t>
  </si>
  <si>
    <t>Cost-saving interventions</t>
  </si>
  <si>
    <t>To do later:</t>
  </si>
  <si>
    <t>Among low-income countries, xYZ</t>
  </si>
  <si>
    <t>Among middle-income countries – what trends do we see and does that vary by vaccine price and/or taking herd effects into account?</t>
  </si>
  <si>
    <t>oneGDPpc</t>
  </si>
  <si>
    <t>threeGDPpc</t>
  </si>
  <si>
    <t>Study Conclusion - Cost-effective?</t>
  </si>
  <si>
    <t>Ochalek High</t>
  </si>
  <si>
    <t>Ochalek Low</t>
  </si>
  <si>
    <t>Woods High</t>
  </si>
  <si>
    <t>Woods Low</t>
  </si>
  <si>
    <t>Alternative</t>
  </si>
  <si>
    <t>Comparison</t>
  </si>
  <si>
    <t>Percent</t>
  </si>
  <si>
    <t>NA</t>
  </si>
  <si>
    <t>Cost-effective Study Conclusion</t>
  </si>
  <si>
    <t>Cost-effective Ochalek 2018</t>
  </si>
  <si>
    <t>Cost-effective Woods 2016</t>
  </si>
  <si>
    <t># of analyses</t>
  </si>
  <si>
    <t>Lower</t>
  </si>
  <si>
    <t>Higher</t>
  </si>
  <si>
    <t>Other comparisons</t>
  </si>
  <si>
    <t>Table. Cost-effectiveness conclusions of pneumococcal conjugate vaccines in low- and middle-income countries at different cost-effectiveness thresholds</t>
  </si>
  <si>
    <t>Evaluations</t>
  </si>
  <si>
    <t>Studies</t>
  </si>
  <si>
    <t>Number of evaluations</t>
  </si>
  <si>
    <r>
      <t>Study conclusion
% cost-effective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</si>
  <si>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Ochalek 2018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% cost-effective at</t>
    </r>
  </si>
  <si>
    <r>
      <t>Woods 2016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% cost-effective at</t>
    </r>
  </si>
  <si>
    <t>study conclusion</t>
  </si>
  <si>
    <t xml:space="preserve">based on </t>
  </si>
  <si>
    <r>
      <rPr>
        <b/>
        <sz val="10"/>
        <color theme="1"/>
        <rFont val="Calibri"/>
        <family val="2"/>
        <scheme val="minor"/>
      </rPr>
      <t>Upper</t>
    </r>
    <r>
      <rPr>
        <sz val="10"/>
        <color theme="1"/>
        <rFont val="Calibri"/>
        <family val="2"/>
        <scheme val="minor"/>
      </rPr>
      <t xml:space="preserve"> bound</t>
    </r>
  </si>
  <si>
    <r>
      <rPr>
        <b/>
        <sz val="10"/>
        <color theme="1"/>
        <rFont val="Calibri"/>
        <family val="2"/>
        <scheme val="minor"/>
      </rPr>
      <t>Lower</t>
    </r>
    <r>
      <rPr>
        <sz val="10"/>
        <color theme="1"/>
        <rFont val="Calibri"/>
        <family val="2"/>
        <scheme val="minor"/>
      </rPr>
      <t xml:space="preserve"> bound</t>
    </r>
  </si>
  <si>
    <t>PCV7 vs No vaccination</t>
  </si>
  <si>
    <t>PCV10 vs No vaccination</t>
  </si>
  <si>
    <t>PCV13 vs No vaccination</t>
  </si>
  <si>
    <t>others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</si>
  <si>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(n=27 studies), 2xGDP/capita (n=1 study), 3xGDP/capita (n=21 studies), and other stated thresholds (n=4). No conclusion was available in 3 evaluations. Proportions are reflecting all evaluations with conclusions on cost-effectiveness.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</si>
  <si>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Asia Pacific Region? (WHO Western Pacific and South-east Asian Regions)</t>
  </si>
  <si>
    <t xml:space="preserve"> Cost-Effectiveness of the 13-Valent Pneumococcal Conjugate Vaccine (PCV13) Versus Lower-Valent Alternatives in Filipino Infants. </t>
  </si>
  <si>
    <t xml:space="preserve"> Cost-Effectiveness and Budget Impact Analyses of Pneumococcal Vaccination in Indonesia. </t>
  </si>
  <si>
    <t>Mentioned three GDPpc, but used one since ICER was below one</t>
  </si>
  <si>
    <t xml:space="preserve"> Cost-effectiveness analysis of domestic 13-valent pneumococcal conjugate vaccine for children under 5 years of age in mainland China. </t>
  </si>
  <si>
    <t xml:space="preserve">Domestic PCV13 vs Imported PCV13 </t>
  </si>
  <si>
    <t>counts</t>
  </si>
  <si>
    <t>Asia Pacific only</t>
  </si>
  <si>
    <t>Study</t>
  </si>
  <si>
    <t>Table 1. Cost-effectiveness conclusions of pneumococcal conjugate vaccines in low- and middle-income countries in the Asia Pacific Region at different cost-effectiveness thresholds</t>
  </si>
  <si>
    <t>Number of analyses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</si>
  <si>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(n=32 analyses), 2xGDP/capita (n=3 analyses), 3xGDP/capita (n=17 analyses).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</si>
  <si>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No longer found to be CE</t>
  </si>
  <si>
    <t>WOODS</t>
  </si>
  <si>
    <t>COMBINED</t>
  </si>
  <si>
    <t>OCHALEK</t>
  </si>
  <si>
    <t>low_value</t>
  </si>
  <si>
    <t>high_value</t>
  </si>
  <si>
    <t>daly1_amount</t>
  </si>
  <si>
    <t>daly2_amount</t>
  </si>
  <si>
    <t>daly3_amount</t>
  </si>
  <si>
    <t>daly4_amount</t>
  </si>
  <si>
    <t>daly1</t>
  </si>
  <si>
    <t>daly2</t>
  </si>
  <si>
    <t>daly3</t>
  </si>
  <si>
    <t>daly4</t>
  </si>
  <si>
    <t>low</t>
  </si>
  <si>
    <t>high</t>
  </si>
  <si>
    <t>gdppc</t>
  </si>
  <si>
    <t>Albania</t>
  </si>
  <si>
    <t>Afghanistan</t>
  </si>
  <si>
    <t>Armenia</t>
  </si>
  <si>
    <t>Angola</t>
  </si>
  <si>
    <t>Azerbaijan</t>
  </si>
  <si>
    <t>Antigua and Barbuda</t>
  </si>
  <si>
    <t>Bangladesh</t>
  </si>
  <si>
    <t>Belarus</t>
  </si>
  <si>
    <t>Australia</t>
  </si>
  <si>
    <t>Belize</t>
  </si>
  <si>
    <t>Austria</t>
  </si>
  <si>
    <t>Benin</t>
  </si>
  <si>
    <t>Bolivia</t>
  </si>
  <si>
    <t>Bahrain</t>
  </si>
  <si>
    <t>Botswana</t>
  </si>
  <si>
    <t>Bulgaria</t>
  </si>
  <si>
    <t>Belgium</t>
  </si>
  <si>
    <t>Burkina Faso</t>
  </si>
  <si>
    <t>Burundi</t>
  </si>
  <si>
    <t>Cambodia</t>
  </si>
  <si>
    <t>Cameroon</t>
  </si>
  <si>
    <t>Cape Verde</t>
  </si>
  <si>
    <t>Bosnia and Herzegovina</t>
  </si>
  <si>
    <t>Chad</t>
  </si>
  <si>
    <t>Brunei Darussalam</t>
  </si>
  <si>
    <t>Comoros</t>
  </si>
  <si>
    <t>Congo</t>
  </si>
  <si>
    <t>Costa Rica</t>
  </si>
  <si>
    <t>Cote d'Ivoire</t>
  </si>
  <si>
    <t>Cabo Verde</t>
  </si>
  <si>
    <t>Democratic Republic of the Congo</t>
  </si>
  <si>
    <t>Dominican Republic</t>
  </si>
  <si>
    <t>Canada</t>
  </si>
  <si>
    <t>Central African Republic</t>
  </si>
  <si>
    <t>El Salvador</t>
  </si>
  <si>
    <t>Eritrea</t>
  </si>
  <si>
    <t>Chile</t>
  </si>
  <si>
    <t>Gabon</t>
  </si>
  <si>
    <t>Ghana</t>
  </si>
  <si>
    <t>Congo, Dem. Rep.</t>
  </si>
  <si>
    <t>Guatemala</t>
  </si>
  <si>
    <t>Congo, Rep.</t>
  </si>
  <si>
    <t>Guinea</t>
  </si>
  <si>
    <t>Guinea-Bissau</t>
  </si>
  <si>
    <t>Guyana</t>
  </si>
  <si>
    <t>Croatia</t>
  </si>
  <si>
    <t>Haiti</t>
  </si>
  <si>
    <t>Cyprus</t>
  </si>
  <si>
    <t>Czech Republic</t>
  </si>
  <si>
    <t>Denmark</t>
  </si>
  <si>
    <t>Djibouti</t>
  </si>
  <si>
    <t>Jamaica</t>
  </si>
  <si>
    <t>Dominica</t>
  </si>
  <si>
    <t>Jordan</t>
  </si>
  <si>
    <t>Kazakhstan</t>
  </si>
  <si>
    <t>Kyrgyzstan</t>
  </si>
  <si>
    <t>Lebanon</t>
  </si>
  <si>
    <t>Equatorial Guinea</t>
  </si>
  <si>
    <t>Lesotho</t>
  </si>
  <si>
    <t>Macedonia</t>
  </si>
  <si>
    <t>Estonia</t>
  </si>
  <si>
    <t>Madagascar</t>
  </si>
  <si>
    <t>Malawi</t>
  </si>
  <si>
    <t>Fiji</t>
  </si>
  <si>
    <t>Finland</t>
  </si>
  <si>
    <t>Mali</t>
  </si>
  <si>
    <t>France</t>
  </si>
  <si>
    <t>Mauritania</t>
  </si>
  <si>
    <t>Mauritius</t>
  </si>
  <si>
    <t>Moldova</t>
  </si>
  <si>
    <t>Germany</t>
  </si>
  <si>
    <t>Morocco</t>
  </si>
  <si>
    <t>Greece</t>
  </si>
  <si>
    <t>Mozambique</t>
  </si>
  <si>
    <t>Grenada</t>
  </si>
  <si>
    <t>Namibia</t>
  </si>
  <si>
    <t>Nepal</t>
  </si>
  <si>
    <t>Nicaragua</t>
  </si>
  <si>
    <t>Niger</t>
  </si>
  <si>
    <t>Nigeria</t>
  </si>
  <si>
    <t>Pakistan</t>
  </si>
  <si>
    <t>Panama</t>
  </si>
  <si>
    <t>Hong Kong SAR, China</t>
  </si>
  <si>
    <t>Hungary</t>
  </si>
  <si>
    <t>Iceland</t>
  </si>
  <si>
    <t>Romania</t>
  </si>
  <si>
    <t>Russia</t>
  </si>
  <si>
    <t>Rwanda</t>
  </si>
  <si>
    <t>Iraq</t>
  </si>
  <si>
    <t>Senegal</t>
  </si>
  <si>
    <t>Ireland</t>
  </si>
  <si>
    <t>Sierra Leone</t>
  </si>
  <si>
    <t>Israel</t>
  </si>
  <si>
    <t>South Africa</t>
  </si>
  <si>
    <t>Italy</t>
  </si>
  <si>
    <t>Sri Lanka</t>
  </si>
  <si>
    <t>Sudan</t>
  </si>
  <si>
    <t>Japan</t>
  </si>
  <si>
    <t>Swaziland</t>
  </si>
  <si>
    <t>Tajikistan</t>
  </si>
  <si>
    <t>Tanzania</t>
  </si>
  <si>
    <t>Kiribati</t>
  </si>
  <si>
    <t>Korea, Rep.</t>
  </si>
  <si>
    <t>Togo</t>
  </si>
  <si>
    <t>Kosovo</t>
  </si>
  <si>
    <t>Kyrgyz Republic</t>
  </si>
  <si>
    <t>Lao PDR</t>
  </si>
  <si>
    <t>Turkmenistan</t>
  </si>
  <si>
    <t>Latvia</t>
  </si>
  <si>
    <t>Uganda</t>
  </si>
  <si>
    <t>Ukraine</t>
  </si>
  <si>
    <t>Uzbekistan</t>
  </si>
  <si>
    <t>Liberia</t>
  </si>
  <si>
    <t>Venezuela</t>
  </si>
  <si>
    <t>Libya</t>
  </si>
  <si>
    <t>Vietnam</t>
  </si>
  <si>
    <t>Lithuania</t>
  </si>
  <si>
    <t>Yemen</t>
  </si>
  <si>
    <t>Luxembourg</t>
  </si>
  <si>
    <t>Zambia</t>
  </si>
  <si>
    <t>Macao SAR, China</t>
  </si>
  <si>
    <t>Zimbabwe</t>
  </si>
  <si>
    <t>Macedonia, FYR</t>
  </si>
  <si>
    <t>Maldives</t>
  </si>
  <si>
    <t>Malta</t>
  </si>
  <si>
    <t>Marshall Islands</t>
  </si>
  <si>
    <t>Micronesia, Fed. Sts.</t>
  </si>
  <si>
    <t>Montenegro</t>
  </si>
  <si>
    <t>Netherlands</t>
  </si>
  <si>
    <t>New Zealand</t>
  </si>
  <si>
    <t>Norway</t>
  </si>
  <si>
    <t>Oman</t>
  </si>
  <si>
    <t>Palau</t>
  </si>
  <si>
    <t>Papua New Guinea</t>
  </si>
  <si>
    <t>Poland</t>
  </si>
  <si>
    <t>Portugal</t>
  </si>
  <si>
    <t>Puerto Rico</t>
  </si>
  <si>
    <t>Qatar</t>
  </si>
  <si>
    <t>Russian Federation</t>
  </si>
  <si>
    <t>Samoa</t>
  </si>
  <si>
    <t>Sao Tome and Principe</t>
  </si>
  <si>
    <t>Saudi Arabia</t>
  </si>
  <si>
    <t>Serbia</t>
  </si>
  <si>
    <t>Seychelles</t>
  </si>
  <si>
    <t>Singapore</t>
  </si>
  <si>
    <t>Slovak Republic</t>
  </si>
  <si>
    <t>Slovenia</t>
  </si>
  <si>
    <t>Solomon Islands</t>
  </si>
  <si>
    <t>Spain</t>
  </si>
  <si>
    <t>St. Kitts and Nevis</t>
  </si>
  <si>
    <t>St. Lucia</t>
  </si>
  <si>
    <t>St. Vincent and the Grenadines</t>
  </si>
  <si>
    <t>Suriname</t>
  </si>
  <si>
    <t>Sweden</t>
  </si>
  <si>
    <t>Switzerland</t>
  </si>
  <si>
    <t>Timor-Leste</t>
  </si>
  <si>
    <t>Tonga</t>
  </si>
  <si>
    <t>Trinidad and Tobago</t>
  </si>
  <si>
    <t>Tuvalu</t>
  </si>
  <si>
    <t>United Kingdom</t>
  </si>
  <si>
    <t>Vanuatu</t>
  </si>
  <si>
    <t>Venezuela, RB</t>
  </si>
  <si>
    <t>Yemen, Rep.</t>
  </si>
  <si>
    <t>Country Name</t>
  </si>
  <si>
    <t>Aruba</t>
  </si>
  <si>
    <t>Andorra</t>
  </si>
  <si>
    <t>Arab World</t>
  </si>
  <si>
    <t>United Arab Emirates</t>
  </si>
  <si>
    <t>American Samoa</t>
  </si>
  <si>
    <t>Bahamas, The</t>
  </si>
  <si>
    <t>Bermuda</t>
  </si>
  <si>
    <t>Barbados</t>
  </si>
  <si>
    <t>Curacao</t>
  </si>
  <si>
    <t>Cayman Islands</t>
  </si>
  <si>
    <t>Faroe Islands</t>
  </si>
  <si>
    <t>Gibraltar</t>
  </si>
  <si>
    <t>Greenland</t>
  </si>
  <si>
    <t>Guam</t>
  </si>
  <si>
    <t>High income</t>
  </si>
  <si>
    <t>Isle of Man</t>
  </si>
  <si>
    <t>Not classified</t>
  </si>
  <si>
    <t>Kuwait</t>
  </si>
  <si>
    <t>Latin America &amp; Caribbean</t>
  </si>
  <si>
    <t>Least developed countries: UN classification</t>
  </si>
  <si>
    <t>Low income</t>
  </si>
  <si>
    <t>Liechtenstein</t>
  </si>
  <si>
    <t>Monaco</t>
  </si>
  <si>
    <t>Middle income</t>
  </si>
  <si>
    <t>North Macedonia</t>
  </si>
  <si>
    <t>Myanmar</t>
  </si>
  <si>
    <t>Northern Mariana Islands</t>
  </si>
  <si>
    <t>North America</t>
  </si>
  <si>
    <t>New Caledonia</t>
  </si>
  <si>
    <t>Nauru</t>
  </si>
  <si>
    <t>Korea, Dem. People's Rep.</t>
  </si>
  <si>
    <t>West Bank and Gaza</t>
  </si>
  <si>
    <t>South Asia</t>
  </si>
  <si>
    <t>San Marino</t>
  </si>
  <si>
    <t>Sub-Saharan Africa</t>
  </si>
  <si>
    <t>Small states</t>
  </si>
  <si>
    <t>Eswatini</t>
  </si>
  <si>
    <t>Sint Maarten (Dutch part)</t>
  </si>
  <si>
    <t>Syrian Arab Republic</t>
  </si>
  <si>
    <t>Turks and Caicos Islands</t>
  </si>
  <si>
    <t>Upper middle income</t>
  </si>
  <si>
    <t>British Virgin Islands</t>
  </si>
  <si>
    <t>Virgin Islands (U.S.)</t>
  </si>
  <si>
    <t>World</t>
  </si>
  <si>
    <t xml:space="preserve">Source: </t>
  </si>
  <si>
    <t>..</t>
  </si>
  <si>
    <t>Channel Islands</t>
  </si>
  <si>
    <t>French Polynesia</t>
  </si>
  <si>
    <t>St. Martin (French part)</t>
  </si>
  <si>
    <t>Africa Eastern and Southern</t>
  </si>
  <si>
    <t>Africa Western and Central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</si>
  <si>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</si>
  <si>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</si>
  <si>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</si>
  <si>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</si>
  <si>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</si>
  <si>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</si>
  <si>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</si>
  <si>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</si>
  <si>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</si>
  <si>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</si>
  <si>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</si>
  <si>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</si>
  <si>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</si>
  <si>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</si>
  <si>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</si>
  <si>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</si>
  <si>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</si>
  <si>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</si>
  <si>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 (excluding high income)</t>
  </si>
  <si>
    <t>Latin America &amp; the Caribbean (IDA &amp; IBRD countries)</t>
  </si>
  <si>
    <t>Low &amp; middle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</si>
  <si>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</si>
  <si>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</si>
  <si>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</si>
  <si>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</si>
  <si>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OECD members</t>
  </si>
  <si>
    <t>Other small states</t>
  </si>
  <si>
    <t>Pacific island small states</t>
  </si>
  <si>
    <t>Post-demographic dividend</t>
  </si>
  <si>
    <t>Pre-demographic dividend</t>
  </si>
  <si>
    <t>South Asia (IDA &amp; IBRD)</t>
  </si>
  <si>
    <t>Sub-Saharan Africa (excluding high income)</t>
  </si>
  <si>
    <t>Sub-Saharan Africa (IDA &amp; IBRD countries)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</si>
  <si>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</si>
  <si>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</si>
  <si>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</si>
  <si>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</si>
  <si>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</si>
  <si>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</si>
  <si>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</si>
  <si>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</si>
  <si>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</si>
  <si>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</si>
  <si>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</si>
  <si>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</si>
  <si>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</si>
  <si>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</si>
  <si>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</si>
  <si>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</si>
  <si>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</si>
  <si>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</si>
  <si>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</si>
  <si>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</si>
  <si>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</si>
  <si>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</si>
  <si>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L</t>
  </si>
  <si>
    <t>LM</t>
  </si>
  <si>
    <t>UM</t>
  </si>
  <si>
    <t>H</t>
  </si>
  <si>
    <t>Côte d'Ivoire</t>
  </si>
  <si>
    <t>Curaçao</t>
  </si>
  <si>
    <t>Faeroe Islands</t>
  </si>
  <si>
    <t>Korea, Dem. Rep.</t>
  </si>
  <si>
    <t>São Tomé and Príncipe</t>
  </si>
  <si>
    <t>Taiwan, China</t>
  </si>
  <si>
    <t>LM*</t>
  </si>
  <si>
    <t>Author</t>
  </si>
  <si>
    <t>EvaluationYear</t>
  </si>
  <si>
    <t>YearOfCurrency</t>
  </si>
  <si>
    <t>Results</t>
  </si>
  <si>
    <t>Cost per QALY ($)</t>
  </si>
  <si>
    <t>onexGDPpc_amount</t>
  </si>
  <si>
    <t>onexGDPpc_decision</t>
  </si>
  <si>
    <t>threexGDPpc_decision</t>
  </si>
  <si>
    <t>percent_GDPpc</t>
  </si>
  <si>
    <t>ochalek_threshold</t>
  </si>
  <si>
    <t>ochalek_decision</t>
  </si>
  <si>
    <t>woods_threshold</t>
  </si>
  <si>
    <t>woods_decision</t>
  </si>
  <si>
    <t>study_threshold</t>
  </si>
  <si>
    <t>study_decision</t>
  </si>
  <si>
    <t>Include</t>
  </si>
  <si>
    <t>Wu et al. 2016</t>
  </si>
  <si>
    <t>Hong Kong</t>
  </si>
  <si>
    <t>No Vaccination</t>
  </si>
  <si>
    <t>US$ 46,832</t>
  </si>
  <si>
    <t>Excluded - high income</t>
  </si>
  <si>
    <t>US$ 40,923</t>
  </si>
  <si>
    <t>Dominant</t>
  </si>
  <si>
    <t>Lee et al. 2013</t>
  </si>
  <si>
    <t>The health economic impact of universal infant vaccination with the 10-valent pneumococcal nontypeable Haemophilus influenzae protein D conjugate vaccine as compared with 13-valent pneumococcal conjugate vaccine in Hong Kong</t>
  </si>
  <si>
    <t>Hong King dollars</t>
  </si>
  <si>
    <t>Lee et al. 2009</t>
  </si>
  <si>
    <t>Economic evaluation of universal infant vaccination with 7vPCV in Hong Kong</t>
  </si>
  <si>
    <t>US$ 6,460 LYG (Payer)</t>
  </si>
  <si>
    <t>US$ 5,929 LYG (Societal)</t>
  </si>
  <si>
    <t>Hoshi et al. 2012</t>
  </si>
  <si>
    <t>Economic evaluation of vaccination programme of 7-valent pneumococcal conjugate vaccine to the birth cohort in Japan</t>
  </si>
  <si>
    <t>US$ 93,013 (Vaccinated Alone)</t>
  </si>
  <si>
    <t>US$ 93,013 (Co-Vaccination)</t>
  </si>
  <si>
    <t>Hoshi et al. 2013</t>
  </si>
  <si>
    <t>Economic evaluation of vaccination programme of 13-valent pneumococcal conjugate vaccine to the birth cohort in Japan</t>
  </si>
  <si>
    <t xml:space="preserve">Japanese Yen  </t>
  </si>
  <si>
    <t>¥  6,352,110</t>
  </si>
  <si>
    <t>¥  1,588,575</t>
  </si>
  <si>
    <t>¥  9,034,940</t>
  </si>
  <si>
    <t>¥  4,368,278</t>
  </si>
  <si>
    <t>¥  4,495,903</t>
  </si>
  <si>
    <t>PCV13-PFE vs. PCV7</t>
  </si>
  <si>
    <t>¥  37,722,901</t>
  </si>
  <si>
    <t>¥  343,830</t>
  </si>
  <si>
    <t>¥  35,584,455</t>
  </si>
  <si>
    <t>Shiragami et al. 2015</t>
  </si>
  <si>
    <t>Cost-effectiveness evaluation of the 10-valent pneumococcal non-typeable Haemophilus influenzae protein D conjugate vaccine and 13-valent pneumococcal vaccine in Japanese children</t>
  </si>
  <si>
    <t>Sohn et al. 2010</t>
  </si>
  <si>
    <t>Economic evaluation of childhood 7-valent pneumococcal conjugate vaccination in Korea</t>
  </si>
  <si>
    <t>Korea</t>
  </si>
  <si>
    <t>US$ 115,549 (4-Dose Schedule);</t>
  </si>
  <si>
    <t>US$ 79,955 (3-Dose Schedule)</t>
  </si>
  <si>
    <t>Zhang et al. 2018</t>
  </si>
  <si>
    <t>Cost-effectiveness analysis of infant pneumococcal vaccination with PHiD-CV in Korea</t>
  </si>
  <si>
    <t>Tyo et al. 2011</t>
  </si>
  <si>
    <t>Cost-effectiveness of conjugate pneumococcal vaccination in Singapore: comparing estimates for 7-valent, 10-valent, and 13-valent vaccines</t>
  </si>
  <si>
    <t>US$ 5,562-43,275</t>
  </si>
  <si>
    <t>US$ 45,100</t>
  </si>
  <si>
    <t>US$ 37,644</t>
  </si>
  <si>
    <t>Megiddo et al. 2018</t>
  </si>
  <si>
    <t>Potential impact of introducing the pneumococcal conjugate vaccine into national immunisation programmes</t>
  </si>
  <si>
    <t>US$ 144 per YLL averted (current coverage)</t>
  </si>
  <si>
    <t>Excluded - outcome not QALY/DALY</t>
  </si>
  <si>
    <t>US$ 127 per YLL averted (expanded coverage)</t>
  </si>
  <si>
    <t>Wu et al. 2012</t>
  </si>
  <si>
    <t>Cost-effectiveness analysis of pneumococcal conjugate vaccine in Taiwan: a transmission dynamic modeling approach</t>
  </si>
  <si>
    <t>Taiwan</t>
  </si>
  <si>
    <t>US$ 38,045LYG (Four Dose; Payer)</t>
  </si>
  <si>
    <t>US$ 18,299 LYG (Four Dose; Societal)</t>
  </si>
  <si>
    <t>US$ 22,050 LYG (Three-Dose; Payer) and</t>
  </si>
  <si>
    <t>US$ 2,304 LYG (Three-Dose; Societal)</t>
  </si>
  <si>
    <t>Wu et al. 2013</t>
  </si>
  <si>
    <t>Economic evaluation of universal 7-valent pneumococcal conjugate vaccination in Taiwan: a cost-effectiveness analysis</t>
  </si>
  <si>
    <t>New Taiwan dollar</t>
  </si>
  <si>
    <t>NT$ 1,183,028 LY (payer)</t>
  </si>
  <si>
    <t>NT$ 619,862 LY (societal)</t>
  </si>
  <si>
    <t>Hu et al. 2014</t>
  </si>
  <si>
    <t>Estimating the Cost-Effectiveness of the 7-Valent Pneumococcal Conjugate Vaccine in Shanghai, China</t>
  </si>
  <si>
    <t>US$ 6,435</t>
  </si>
  <si>
    <t>Included</t>
  </si>
  <si>
    <t>Shanghai, China</t>
  </si>
  <si>
    <t>GPD/capita is higher ($12,000)</t>
  </si>
  <si>
    <t>US$ 376,497</t>
  </si>
  <si>
    <t>2004-01-00405-01</t>
  </si>
  <si>
    <t>The cost-effectiveness of pneumococcal conjugate vaccination in Australia</t>
  </si>
  <si>
    <t>2009-01-01769-01</t>
  </si>
  <si>
    <t>Cost-effectiveness of introducing the conjugated pneumococcal vaccine to routine free immunizations for infants in Lazio, Italy</t>
  </si>
  <si>
    <t>Including vaccination of infants with conjugated pneumococcal vaccine (PCV-7) to the recommended schedule</t>
  </si>
  <si>
    <t>DosePhrases</t>
  </si>
  <si>
    <t>OchalekThreshold</t>
  </si>
  <si>
    <t>OchalekDecision</t>
  </si>
  <si>
    <t>WoodsThreshold</t>
  </si>
  <si>
    <t>WoodsDecision</t>
  </si>
  <si>
    <t>Navas</t>
  </si>
  <si>
    <t>Cost-benefit and cost-effectiveness of the incorporation of the pneumococcal 7-valent conjugated vaccine in the routine vaccination schedule of Catalonia (Spain)</t>
  </si>
  <si>
    <t>Four doses of 7-valent pneumococcal conjugated vaccine at 2, 4, 6 and 12-15 months of age</t>
  </si>
  <si>
    <t>€ 44307 DALY Averted</t>
  </si>
  <si>
    <t>€ 80291 DALY Averted</t>
  </si>
  <si>
    <t>Excluded</t>
  </si>
  <si>
    <t xml:space="preserve">NoVax </t>
  </si>
  <si>
    <t>US$ 2019 DALY Averted</t>
  </si>
  <si>
    <t>Vucina</t>
  </si>
  <si>
    <t>Cost-effectiveness of pneumococcal conjugate vaccination in Croatia</t>
  </si>
  <si>
    <t>Pneumococcal conjugate vaccination (PCV) with PCV-10</t>
  </si>
  <si>
    <t>3 Doses</t>
  </si>
  <si>
    <t>US$ 75467 DALY Averted</t>
  </si>
  <si>
    <t>US$ 68698 DALY Averted</t>
  </si>
  <si>
    <t>Pneumococcal conjugate vaccination (PCV) with PCV-13</t>
  </si>
  <si>
    <t>US$ 76557 DALY Averted</t>
  </si>
  <si>
    <t>US$ 69977 DALY Averted</t>
  </si>
  <si>
    <t>US$ 83830 DALY Averted</t>
  </si>
  <si>
    <t>US$ 78507 DALY Averted</t>
  </si>
  <si>
    <t>PCV 10 Vs No Vaccination</t>
  </si>
  <si>
    <t>PCV 10</t>
  </si>
  <si>
    <t>$-230.13 QALY gained</t>
  </si>
  <si>
    <t>$-2133.38 QALY gained</t>
  </si>
  <si>
    <t>$-235.11 QALY gained</t>
  </si>
  <si>
    <t>$-2141.37 QALY gained</t>
  </si>
  <si>
    <t>Shanghai Jiaotong University School of Medicine</t>
  </si>
  <si>
    <t>University of Michigan</t>
  </si>
  <si>
    <t>None</t>
  </si>
  <si>
    <t>Shanghai Health and Family Planning Commission</t>
  </si>
  <si>
    <t xml:space="preserve">The Health Promotion Foundation </t>
  </si>
  <si>
    <t>WHO</t>
  </si>
  <si>
    <t>Bill &amp; Melinda Gates foundation, Pan American Health Organization</t>
  </si>
  <si>
    <t>Wyeth Industria Farmaceutica, Sao Paulo, Brazil</t>
  </si>
  <si>
    <t>Bill &amp; Melinda Gates foundation</t>
  </si>
  <si>
    <t>GAVI, Alliance</t>
  </si>
  <si>
    <t>NIH, Peru</t>
  </si>
  <si>
    <t>Swedish Research Council</t>
  </si>
  <si>
    <t>GAVI, Wellcome Trust</t>
  </si>
  <si>
    <t>Ministry health of Colombia</t>
  </si>
  <si>
    <t xml:space="preserve">Bill &amp; Melinda Gates foundation </t>
  </si>
  <si>
    <t>Ministry of Health of Brazil, Conselho Nacional de Desenvolvimento Cientifico e Tecnologico (CNPq)</t>
  </si>
  <si>
    <t xml:space="preserve">Wyeth  </t>
  </si>
  <si>
    <t>Wyeth</t>
  </si>
  <si>
    <t>John Hopkins</t>
  </si>
  <si>
    <t>GAVI, Pfizer</t>
  </si>
  <si>
    <t>Clinton Health Access Initiative, Indonesia</t>
  </si>
  <si>
    <t>NFSC, China</t>
  </si>
  <si>
    <t>fundingPhrase</t>
  </si>
  <si>
    <t>funding</t>
  </si>
  <si>
    <t>Industry</t>
  </si>
  <si>
    <t>Non-profit</t>
  </si>
  <si>
    <t>Government</t>
  </si>
  <si>
    <t>Mixed</t>
  </si>
  <si>
    <t>Provac Initiative of PAHO, Funds Fund for Research,Science and Innovation of the Ministry of Science of Cuba, Technology and Environment (FONCI)</t>
  </si>
  <si>
    <t>Turkiye</t>
  </si>
  <si>
    <t>$6,733</t>
  </si>
  <si>
    <t>($5,731 - $8,433)</t>
  </si>
  <si>
    <t>(0.33 - 0.49)</t>
  </si>
  <si>
    <t>$163</t>
  </si>
  <si>
    <t>($51 - $256)</t>
  </si>
  <si>
    <t>(0.10 - 0.49)</t>
  </si>
  <si>
    <t>$23,408</t>
  </si>
  <si>
    <t>($19,923 - $29,317)</t>
  </si>
  <si>
    <t>(0.30 - 0.45)</t>
  </si>
  <si>
    <t>$11,055</t>
  </si>
  <si>
    <t>($9,409 - $13,845)</t>
  </si>
  <si>
    <t>(0.49 - 0.72)</t>
  </si>
  <si>
    <t>$19,514</t>
  </si>
  <si>
    <t>($16,608 - $24,440)</t>
  </si>
  <si>
    <t>(0.64 - 0.94)</t>
  </si>
  <si>
    <t>$981</t>
  </si>
  <si>
    <t>($501 - $1,244)</t>
  </si>
  <si>
    <t>(0.21 - 0.53)</t>
  </si>
  <si>
    <t>$4,512</t>
  </si>
  <si>
    <t>($3,292 - $7,941)</t>
  </si>
  <si>
    <t>(0.50 - 1.20)</t>
  </si>
  <si>
    <t>$24,733</t>
  </si>
  <si>
    <t>($21,051 - $30,977)</t>
  </si>
  <si>
    <t>(0.71 - 1.05)</t>
  </si>
  <si>
    <t>$1,349</t>
  </si>
  <si>
    <t>($689 - $1,711)</t>
  </si>
  <si>
    <t>(0.18 - 0.44)</t>
  </si>
  <si>
    <t>$5,076</t>
  </si>
  <si>
    <t>($3,703 - $8,935)</t>
  </si>
  <si>
    <t>(0.32 - 0.77)</t>
  </si>
  <si>
    <t>$3,287</t>
  </si>
  <si>
    <t>($2,398 - $5,785)</t>
  </si>
  <si>
    <t>(0.29 - 0.70)</t>
  </si>
  <si>
    <t>$208</t>
  </si>
  <si>
    <t>($66 - $327)</t>
  </si>
  <si>
    <t>(0.09 - 0.43)</t>
  </si>
  <si>
    <t>$5,745</t>
  </si>
  <si>
    <t>($4,191 - $10,111)</t>
  </si>
  <si>
    <t>(0.61 - 1.48)</t>
  </si>
  <si>
    <t>$50,978</t>
  </si>
  <si>
    <t>($43,388 - $63,848)</t>
  </si>
  <si>
    <t>(0.84 - 1.23)</t>
  </si>
  <si>
    <t>$87,811</t>
  </si>
  <si>
    <t>($74,738 - $109,980)</t>
  </si>
  <si>
    <t>(0.88 - 1.29)</t>
  </si>
  <si>
    <t>$314</t>
  </si>
  <si>
    <t>($99 - $494)</t>
  </si>
  <si>
    <t>(0.11 - 0.55)</t>
  </si>
  <si>
    <t>$281</t>
  </si>
  <si>
    <t>($144 - $357)</t>
  </si>
  <si>
    <t>(0.13 - 0.33)</t>
  </si>
  <si>
    <t>$2,909</t>
  </si>
  <si>
    <t>($2,122 - $5,119)</t>
  </si>
  <si>
    <t>(0.27 - 0.66)</t>
  </si>
  <si>
    <t>$699</t>
  </si>
  <si>
    <t>($357 - $886)</t>
  </si>
  <si>
    <t>(0.23 - 0.56)</t>
  </si>
  <si>
    <t>$212</t>
  </si>
  <si>
    <t>($67 - $333)</t>
  </si>
  <si>
    <t>(0.07 - 0.37)</t>
  </si>
  <si>
    <t>$2,145</t>
  </si>
  <si>
    <t>($1,564 - $3,775)</t>
  </si>
  <si>
    <t>$8,919</t>
  </si>
  <si>
    <t>($7,591 - $11,171)</t>
  </si>
  <si>
    <t>(0.44 - 0.65)</t>
  </si>
  <si>
    <t>$1,947</t>
  </si>
  <si>
    <t>($994 - $2,470)</t>
  </si>
  <si>
    <t>(0.28 - 0.69)</t>
  </si>
  <si>
    <t>$3,940</t>
  </si>
  <si>
    <t>($2,874 - $6,934)</t>
  </si>
  <si>
    <t>(0.32 - 0.76)</t>
  </si>
  <si>
    <t>$4,218</t>
  </si>
  <si>
    <t>($3,077 - $7,423)</t>
  </si>
  <si>
    <t>(0.40 - 0.98)</t>
  </si>
  <si>
    <t>$139</t>
  </si>
  <si>
    <t>($44 - $219)</t>
  </si>
  <si>
    <t>(0.05 - 0.27)</t>
  </si>
  <si>
    <t>$1,892</t>
  </si>
  <si>
    <t>($966 - $2,400)</t>
  </si>
  <si>
    <t>(0.26 - 0.66)</t>
  </si>
  <si>
    <t>$15,889</t>
  </si>
  <si>
    <t>($13,524 - $19,900)</t>
  </si>
  <si>
    <t>(0.32 - 0.47)</t>
  </si>
  <si>
    <t>$37,952</t>
  </si>
  <si>
    <t>($32,302 - $47,532)</t>
  </si>
  <si>
    <t>(0.75 - 1.10)</t>
  </si>
  <si>
    <t>$95,958</t>
  </si>
  <si>
    <t>($81,672 - $120,181)</t>
  </si>
  <si>
    <t>(1.25 - 1.85)</t>
  </si>
  <si>
    <t>$13,978</t>
  </si>
  <si>
    <t>($11,897 - $17,506)</t>
  </si>
  <si>
    <t>(0.67 - 0.99)</t>
  </si>
  <si>
    <t>$745</t>
  </si>
  <si>
    <t>($380 - $945)</t>
  </si>
  <si>
    <t>$851</t>
  </si>
  <si>
    <t>($434 - $1,079)</t>
  </si>
  <si>
    <t>(0.14 - 0.35)</t>
  </si>
  <si>
    <t>$1,495</t>
  </si>
  <si>
    <t>($763 - $1,896)</t>
  </si>
  <si>
    <t>(0.22 - 0.55)</t>
  </si>
  <si>
    <t>($253 - $627)</t>
  </si>
  <si>
    <t>(0.19 - 0.48)</t>
  </si>
  <si>
    <t>$698</t>
  </si>
  <si>
    <t>($356 - $885)</t>
  </si>
  <si>
    <t>(0.27 - 0.67)</t>
  </si>
  <si>
    <t>$494</t>
  </si>
  <si>
    <t>$320</t>
  </si>
  <si>
    <t>($101 - $503)</t>
  </si>
  <si>
    <t>(0.20 - 1.02)</t>
  </si>
  <si>
    <t>$2,099</t>
  </si>
  <si>
    <t>($1,072 - $2,663)</t>
  </si>
  <si>
    <t>$462</t>
  </si>
  <si>
    <t>($236 - $587)</t>
  </si>
  <si>
    <t>(0.11 - 0.27)</t>
  </si>
  <si>
    <t>$6,302</t>
  </si>
  <si>
    <t>($5,364 - $7,893)</t>
  </si>
  <si>
    <t>(0.31 - 0.45)</t>
  </si>
  <si>
    <t>$9,329</t>
  </si>
  <si>
    <t>($6,805 - $16,419)</t>
  </si>
  <si>
    <t>(0.68 - 1.63)</t>
  </si>
  <si>
    <t>$4,958</t>
  </si>
  <si>
    <t>($3,616 - $8,726)</t>
  </si>
  <si>
    <t>(0.79 - 1.89)</t>
  </si>
  <si>
    <t>$49,211</t>
  </si>
  <si>
    <t>($41,884 - $61,634)</t>
  </si>
  <si>
    <t>(0.76 - 1.12)</t>
  </si>
  <si>
    <t>$46,380</t>
  </si>
  <si>
    <t>($39,475 - $58,089)</t>
  </si>
  <si>
    <t>(0.79 - 1.16)</t>
  </si>
  <si>
    <t>$1,821</t>
  </si>
  <si>
    <t>($1,329 - $3,206)</t>
  </si>
  <si>
    <t>(0.28 - 0.67)</t>
  </si>
  <si>
    <t>$15,932</t>
  </si>
  <si>
    <t>($13,561 - $19,954)</t>
  </si>
  <si>
    <t>(0.40 - 0.59)</t>
  </si>
  <si>
    <t>$7,981</t>
  </si>
  <si>
    <t>($6,793 - $9,996)</t>
  </si>
  <si>
    <t>(0.29 - 0.42)</t>
  </si>
  <si>
    <t>$357</t>
  </si>
  <si>
    <t>($182 - $453)</t>
  </si>
  <si>
    <t>(0.08 - 0.21)</t>
  </si>
  <si>
    <t>$10,017</t>
  </si>
  <si>
    <t>($8,526 - $12,545)</t>
  </si>
  <si>
    <t>(0.46 - 0.68)</t>
  </si>
  <si>
    <t>$3,757</t>
  </si>
  <si>
    <t>($2,741 - $6,613)</t>
  </si>
  <si>
    <t>(0.40 - 0.97)</t>
  </si>
  <si>
    <t>$44,231</t>
  </si>
  <si>
    <t>($37,646 - $55,397)</t>
  </si>
  <si>
    <t>(0.81 - 1.19)</t>
  </si>
  <si>
    <t>$2,819</t>
  </si>
  <si>
    <t>($2,056 - $4,961)</t>
  </si>
  <si>
    <t>(0.41 - 1.00)</t>
  </si>
  <si>
    <t>$190</t>
  </si>
  <si>
    <t>($97 - $241)</t>
  </si>
  <si>
    <t>(0.08 - 0.20)</t>
  </si>
  <si>
    <t>$896</t>
  </si>
  <si>
    <t>($458 - $1,137)</t>
  </si>
  <si>
    <t>(0.14 - 0.34)</t>
  </si>
  <si>
    <t>$1,889</t>
  </si>
  <si>
    <t>($965 - $2,396)</t>
  </si>
  <si>
    <t>$5,562</t>
  </si>
  <si>
    <t>($4,057 - $9,788)</t>
  </si>
  <si>
    <t>(0.66 - 1.60)</t>
  </si>
  <si>
    <t>$4,875</t>
  </si>
  <si>
    <t>($3,556 - $8,580)</t>
  </si>
  <si>
    <t>(0.49 - 1.18)</t>
  </si>
  <si>
    <t>$8,462</t>
  </si>
  <si>
    <t>($6,173 - $14,894)</t>
  </si>
  <si>
    <t>(0.70 - 1.68)</t>
  </si>
  <si>
    <t>$5,510</t>
  </si>
  <si>
    <t>($4,690 - $6,901)</t>
  </si>
  <si>
    <t>(0.15 - 0.22)</t>
  </si>
  <si>
    <t>$6,691</t>
  </si>
  <si>
    <t>($4,881 - $11,776)</t>
  </si>
  <si>
    <t>(0.49 - 1.19)</t>
  </si>
  <si>
    <t>$183</t>
  </si>
  <si>
    <t>($57 - $287)</t>
  </si>
  <si>
    <t>(0.07 - 0.36)</t>
  </si>
  <si>
    <t>$88</t>
  </si>
  <si>
    <t>($28 - $138)</t>
  </si>
  <si>
    <t>(0.12 - 0.61)</t>
  </si>
  <si>
    <t>$1,389</t>
  </si>
  <si>
    <t>($709 - $1,762)</t>
  </si>
  <si>
    <t>(0.20 - 0.49)</t>
  </si>
  <si>
    <t>$854</t>
  </si>
  <si>
    <t>($436 - $1,083)</t>
  </si>
  <si>
    <t>$331</t>
  </si>
  <si>
    <t>($169 - $420)</t>
  </si>
  <si>
    <t>$44,638</t>
  </si>
  <si>
    <t>($37,992 - $55,907)</t>
  </si>
  <si>
    <t>(0.82 - 1.21)</t>
  </si>
  <si>
    <t>$142</t>
  </si>
  <si>
    <t>($45 - $224)</t>
  </si>
  <si>
    <t>(0.10 - 0.48)</t>
  </si>
  <si>
    <t>$105</t>
  </si>
  <si>
    <t>($33 - $166)</t>
  </si>
  <si>
    <t>(0.05 - 0.23)</t>
  </si>
  <si>
    <t>$11,817</t>
  </si>
  <si>
    <t>($10,058 - $14,800)</t>
  </si>
  <si>
    <t>(0.68 - 1.01)</t>
  </si>
  <si>
    <t>$5,203</t>
  </si>
  <si>
    <t>($3,795 - $9,157)</t>
  </si>
  <si>
    <t>(0.37 - 0.90)</t>
  </si>
  <si>
    <t>$4,832</t>
  </si>
  <si>
    <t>($3,525 - $8,505)</t>
  </si>
  <si>
    <t>(0.55 - 1.33)</t>
  </si>
  <si>
    <t>$483</t>
  </si>
  <si>
    <t>($246 - $612)</t>
  </si>
  <si>
    <t>$87</t>
  </si>
  <si>
    <t>($28 - $137)</t>
  </si>
  <si>
    <t>$342</t>
  </si>
  <si>
    <t>($175 - $434)</t>
  </si>
  <si>
    <t>(0.07 - 0.18)</t>
  </si>
  <si>
    <t>$9,559</t>
  </si>
  <si>
    <t>($6,973 - $16,825)</t>
  </si>
  <si>
    <t>(0.55 - 1.32)</t>
  </si>
  <si>
    <t>$435</t>
  </si>
  <si>
    <t>($222 - $552)</t>
  </si>
  <si>
    <t>(0.10 - 0.24)</t>
  </si>
  <si>
    <t>$8,725</t>
  </si>
  <si>
    <t>($7,426 - $10,927)</t>
  </si>
  <si>
    <t>(0.48 - 0.71)</t>
  </si>
  <si>
    <t>$10,638</t>
  </si>
  <si>
    <t>($7,760 - $18,723)</t>
  </si>
  <si>
    <t>(0.85 - 2.05)</t>
  </si>
  <si>
    <t>$16,922</t>
  </si>
  <si>
    <t>($14,402 - $21,194)</t>
  </si>
  <si>
    <t>(0.49 - 0.73)</t>
  </si>
  <si>
    <t>Czechia</t>
  </si>
  <si>
    <t>$15,750</t>
  </si>
  <si>
    <t>($13,405 - $19,726)</t>
  </si>
  <si>
    <t>(0.57 - 0.83)</t>
  </si>
  <si>
    <t>$52,467</t>
  </si>
  <si>
    <t>($44,656 - $65,712)</t>
  </si>
  <si>
    <t>$456</t>
  </si>
  <si>
    <t>($233 - $579)</t>
  </si>
  <si>
    <t>$4,745</t>
  </si>
  <si>
    <t>($3,461 - $8,350)</t>
  </si>
  <si>
    <t>(0.42 - 1.01)</t>
  </si>
  <si>
    <t>($3,461 - $8,352)</t>
  </si>
  <si>
    <t>(0.56 - 1.34)</t>
  </si>
  <si>
    <t>$1,172</t>
  </si>
  <si>
    <t>($598 - $1,486)</t>
  </si>
  <si>
    <t>$2,363</t>
  </si>
  <si>
    <t>($1,206 - $2,997)</t>
  </si>
  <si>
    <t>(0.29 - 0.72)</t>
  </si>
  <si>
    <t>$1,840</t>
  </si>
  <si>
    <t>($1,343 - $3,239)</t>
  </si>
  <si>
    <t>(0.16 - 0.39)</t>
  </si>
  <si>
    <t>$13,367</t>
  </si>
  <si>
    <t>($11,377 - $16,741)</t>
  </si>
  <si>
    <t>$1,818</t>
  </si>
  <si>
    <t>($928 - $2,305)</t>
  </si>
  <si>
    <t>(0.24 - 0.59)</t>
  </si>
  <si>
    <t>$124</t>
  </si>
  <si>
    <t>($39 - $194)</t>
  </si>
  <si>
    <t>$2,027</t>
  </si>
  <si>
    <t>($1,479 - $3,567)</t>
  </si>
  <si>
    <t>(0.24 - 0.58)</t>
  </si>
  <si>
    <t>$39,425</t>
  </si>
  <si>
    <t>($33,555 - $49,378)</t>
  </si>
  <si>
    <t>(0.69 - 1.02)</t>
  </si>
  <si>
    <t>$40,006</t>
  </si>
  <si>
    <t>($34,050 - $50,106)</t>
  </si>
  <si>
    <t>$1,860</t>
  </si>
  <si>
    <t>($1,356 - $3,273)</t>
  </si>
  <si>
    <t>(0.17 - 0.42)</t>
  </si>
  <si>
    <t>$125</t>
  </si>
  <si>
    <t>($39 - $197)</t>
  </si>
  <si>
    <t>(0.05 - 0.25)</t>
  </si>
  <si>
    <t>$2,759</t>
  </si>
  <si>
    <t>($2,012 - $4,856)</t>
  </si>
  <si>
    <t>(0.43 - 1.03)</t>
  </si>
  <si>
    <t>$47,461</t>
  </si>
  <si>
    <t>($40,395 - $59,443)</t>
  </si>
  <si>
    <t>(0.86 - 1.27)</t>
  </si>
  <si>
    <t>$507</t>
  </si>
  <si>
    <t>($259 - $643)</t>
  </si>
  <si>
    <t>(0.12 - 0.29)</t>
  </si>
  <si>
    <t>$13,207</t>
  </si>
  <si>
    <t>($11,241 - $16,541)</t>
  </si>
  <si>
    <t>(0.59 - 0.86)</t>
  </si>
  <si>
    <t>$4,935</t>
  </si>
  <si>
    <t>($3,600 - $8,685)</t>
  </si>
  <si>
    <t>(0.33 - 0.80)</t>
  </si>
  <si>
    <t>$2,705</t>
  </si>
  <si>
    <t>($1,973 - $4,761)</t>
  </si>
  <si>
    <t>$191</t>
  </si>
  <si>
    <t>($60 - $300)</t>
  </si>
  <si>
    <t>(0.06 - 0.29)</t>
  </si>
  <si>
    <t>$253</t>
  </si>
  <si>
    <t>($79 - $397)</t>
  </si>
  <si>
    <t>(0.11 - 0.53)</t>
  </si>
  <si>
    <t>$3,134</t>
  </si>
  <si>
    <t>($2,286 - $5,516)</t>
  </si>
  <si>
    <t>(0.35 - 0.83)</t>
  </si>
  <si>
    <t>$261</t>
  </si>
  <si>
    <t>($82 - $410)</t>
  </si>
  <si>
    <t>(0.06 - 0.31)</t>
  </si>
  <si>
    <t>$1,603</t>
  </si>
  <si>
    <t>($819 - $2,033)</t>
  </si>
  <si>
    <t>(0.32 - 0.79)</t>
  </si>
  <si>
    <t>$8,620</t>
  </si>
  <si>
    <t>($7,337 - $10,796)</t>
  </si>
  <si>
    <t>$56,421</t>
  </si>
  <si>
    <t>($48,021 - $70,665)</t>
  </si>
  <si>
    <t>(0.70 - 1.03)</t>
  </si>
  <si>
    <t>$487</t>
  </si>
  <si>
    <t>($249 - $618)</t>
  </si>
  <si>
    <t>(0.12 - 0.30)</t>
  </si>
  <si>
    <t>$1,108</t>
  </si>
  <si>
    <t>($808 - $1,950)</t>
  </si>
  <si>
    <t>(0.20 - 0.47)</t>
  </si>
  <si>
    <t>$4,701</t>
  </si>
  <si>
    <t>($3,429 - $8,275)</t>
  </si>
  <si>
    <t>(0.98 - 2.35)</t>
  </si>
  <si>
    <t>$2,270</t>
  </si>
  <si>
    <t>($1,656 - $3,996)</t>
  </si>
  <si>
    <t>$48,890</t>
  </si>
  <si>
    <t>($41,611 - $61,233)</t>
  </si>
  <si>
    <t>(0.51 - 0.76)</t>
  </si>
  <si>
    <t>$30,641</t>
  </si>
  <si>
    <t>($26,079 - $38,376)</t>
  </si>
  <si>
    <t>(0.59 - 0.87)</t>
  </si>
  <si>
    <t>$26,357</t>
  </si>
  <si>
    <t>($22,433 - $33,011)</t>
  </si>
  <si>
    <t>(0.67 - 0.98)</t>
  </si>
  <si>
    <t>$3,074</t>
  </si>
  <si>
    <t>($2,242 - $5,409)</t>
  </si>
  <si>
    <t>$39,190</t>
  </si>
  <si>
    <t>($33,355 - $49,084)</t>
  </si>
  <si>
    <t>$3,091</t>
  </si>
  <si>
    <t>($2,255 - $5,441)</t>
  </si>
  <si>
    <t>(0.51 - 1.24)</t>
  </si>
  <si>
    <t>$2,534</t>
  </si>
  <si>
    <t>($1,848 - $4,459)</t>
  </si>
  <si>
    <t>(0.19 - 0.45)</t>
  </si>
  <si>
    <t>$612</t>
  </si>
  <si>
    <t>($312 - $776)</t>
  </si>
  <si>
    <t>(0.16 - 0.41)</t>
  </si>
  <si>
    <t>$1,455</t>
  </si>
  <si>
    <t>($743 - $1,845)</t>
  </si>
  <si>
    <t>(0.49 - 1.22)</t>
  </si>
  <si>
    <t>$23,285</t>
  </si>
  <si>
    <t>($19,818 - $29,163)</t>
  </si>
  <si>
    <t>(0.62 - 0.91)</t>
  </si>
  <si>
    <t>$13,384</t>
  </si>
  <si>
    <t>($11,391 - $16,762)</t>
  </si>
  <si>
    <t>(0.35 - 0.52)</t>
  </si>
  <si>
    <t>$460</t>
  </si>
  <si>
    <t>($235 - $584)</t>
  </si>
  <si>
    <t>($252 - $627)</t>
  </si>
  <si>
    <t>$9,369</t>
  </si>
  <si>
    <t>($7,974 - $11,734)</t>
  </si>
  <si>
    <t>$7,053</t>
  </si>
  <si>
    <t>($5,145 - $12,413)</t>
  </si>
  <si>
    <t>(0.68 - 1.65)</t>
  </si>
  <si>
    <t>$788</t>
  </si>
  <si>
    <t>($403 - $1,000)</t>
  </si>
  <si>
    <t>(0.35 - 0.87)</t>
  </si>
  <si>
    <t>$245</t>
  </si>
  <si>
    <t>($77 - $386)</t>
  </si>
  <si>
    <t>(0.11 - 0.57)</t>
  </si>
  <si>
    <t>$11,189</t>
  </si>
  <si>
    <t>($9,523 - $14,013)</t>
  </si>
  <si>
    <t>$55,563</t>
  </si>
  <si>
    <t>($47,291 - $69,590)</t>
  </si>
  <si>
    <t>(0.42 - 0.61)</t>
  </si>
  <si>
    <t>$97</t>
  </si>
  <si>
    <t>($31 - $153)</t>
  </si>
  <si>
    <t>$137</t>
  </si>
  <si>
    <t>($43 - $216)</t>
  </si>
  <si>
    <t>$4,344</t>
  </si>
  <si>
    <t>($3,169 - $7,645)</t>
  </si>
  <si>
    <t>$8,568</t>
  </si>
  <si>
    <t>($6,250 - $15,079)</t>
  </si>
  <si>
    <t>(0.59 - 1.43)</t>
  </si>
  <si>
    <t>$138</t>
  </si>
  <si>
    <t>$22,764</t>
  </si>
  <si>
    <t>($19,375 - $28,510)</t>
  </si>
  <si>
    <t>$388</t>
  </si>
  <si>
    <t>($198 - $492)</t>
  </si>
  <si>
    <t>(0.11 - 0.28)</t>
  </si>
  <si>
    <t>$5,534</t>
  </si>
  <si>
    <t>($4,710 - $6,931)</t>
  </si>
  <si>
    <t>(0.42 - 0.62)</t>
  </si>
  <si>
    <t>$5,214</t>
  </si>
  <si>
    <t>($3,803 - $9,176)</t>
  </si>
  <si>
    <t>(0.38 - 0.92)</t>
  </si>
  <si>
    <t>$3,249</t>
  </si>
  <si>
    <t>($1,659 - $4,120)</t>
  </si>
  <si>
    <t>(0.46 - 1.14)</t>
  </si>
  <si>
    <t>$2,164</t>
  </si>
  <si>
    <t>($1,105 - $2,745)</t>
  </si>
  <si>
    <t>(0.25 - 0.61)</t>
  </si>
  <si>
    <t>$1,258</t>
  </si>
  <si>
    <t>($642 - $1,595)</t>
  </si>
  <si>
    <t>(0.15 - 0.36)</t>
  </si>
  <si>
    <t>$7,270</t>
  </si>
  <si>
    <t>($5,303 - $12,796)</t>
  </si>
  <si>
    <t>(0.60 - 1.44)</t>
  </si>
  <si>
    <t>$1,528</t>
  </si>
  <si>
    <t>($780 - $1,938)</t>
  </si>
  <si>
    <t>(0.24 - 0.60)</t>
  </si>
  <si>
    <t>$181</t>
  </si>
  <si>
    <t>($57 - $285)</t>
  </si>
  <si>
    <t>(0.11 - 0.56)</t>
  </si>
  <si>
    <t>$423</t>
  </si>
  <si>
    <t>($216 - $536)</t>
  </si>
  <si>
    <t>$3,486</t>
  </si>
  <si>
    <t>($2,543 - $6,135)</t>
  </si>
  <si>
    <t>(0.51 - 1.22)</t>
  </si>
  <si>
    <t>$413</t>
  </si>
  <si>
    <t>($211 - $524)</t>
  </si>
  <si>
    <t>$47,122</t>
  </si>
  <si>
    <t>($40,107 - $59,018)</t>
  </si>
  <si>
    <t>$37,456</t>
  </si>
  <si>
    <t>($31,880 - $46,912)</t>
  </si>
  <si>
    <t>(0.74 - 1.09)</t>
  </si>
  <si>
    <t>$1,295</t>
  </si>
  <si>
    <t>($661 - $1,642)</t>
  </si>
  <si>
    <t>(0.34 - 0.85)</t>
  </si>
  <si>
    <t>(0.08 - 0.39)</t>
  </si>
  <si>
    <t>$374</t>
  </si>
  <si>
    <t>($191 - $474)</t>
  </si>
  <si>
    <t>(0.09 - 0.21)</t>
  </si>
  <si>
    <t>$4,366</t>
  </si>
  <si>
    <t>($3,184 - $7,683)</t>
  </si>
  <si>
    <t>(0.52 - 1.27)</t>
  </si>
  <si>
    <t>$72,267</t>
  </si>
  <si>
    <t>($61,508 - $90,511)</t>
  </si>
  <si>
    <t>(0.81 - 1.20)</t>
  </si>
  <si>
    <t>$5,480</t>
  </si>
  <si>
    <t>($4,665 - $6,864)</t>
  </si>
  <si>
    <t>(0.26 - 0.39)</t>
  </si>
  <si>
    <t>$299</t>
  </si>
  <si>
    <t>($153 - $379)</t>
  </si>
  <si>
    <t>(0.10 - 0.26)</t>
  </si>
  <si>
    <t>$10,018</t>
  </si>
  <si>
    <t>($8,527 - $12,547)</t>
  </si>
  <si>
    <t>(0.54 - 0.80)</t>
  </si>
  <si>
    <t>$451</t>
  </si>
  <si>
    <t>($230 - $572)</t>
  </si>
  <si>
    <t>$3,666</t>
  </si>
  <si>
    <t>($2,674 - $6,452)</t>
  </si>
  <si>
    <t>$3,532</t>
  </si>
  <si>
    <t>($2,576 - $6,216)</t>
  </si>
  <si>
    <t>(0.37 - 0.89)</t>
  </si>
  <si>
    <t>$1,105</t>
  </si>
  <si>
    <t>($564 - $1,401)</t>
  </si>
  <si>
    <t>(0.16 - 0.40)</t>
  </si>
  <si>
    <t>$8,389</t>
  </si>
  <si>
    <t>($7,140 - $10,507)</t>
  </si>
  <si>
    <t>(0.45 - 0.67)</t>
  </si>
  <si>
    <t>$19,544</t>
  </si>
  <si>
    <t>($16,634 - $24,477)</t>
  </si>
  <si>
    <t>$16,233</t>
  </si>
  <si>
    <t>($13,816 - $20,330)</t>
  </si>
  <si>
    <t>(0.22 - 0.33)</t>
  </si>
  <si>
    <t>$5,911</t>
  </si>
  <si>
    <t>($5,031 - $7,404)</t>
  </si>
  <si>
    <t>(0.39 - 0.57)</t>
  </si>
  <si>
    <t>$6,123</t>
  </si>
  <si>
    <t>($4,466 - $10,776)</t>
  </si>
  <si>
    <t>(0.39 - 0.93)</t>
  </si>
  <si>
    <t>$254</t>
  </si>
  <si>
    <t>($80 - $398)</t>
  </si>
  <si>
    <t>$2,650</t>
  </si>
  <si>
    <t>($1,933 - $4,664)</t>
  </si>
  <si>
    <t>(0.45 - 1.08)</t>
  </si>
  <si>
    <t>$829</t>
  </si>
  <si>
    <t>($423 - $1,051)</t>
  </si>
  <si>
    <t>$10,863</t>
  </si>
  <si>
    <t>($9,246 - $13,606)</t>
  </si>
  <si>
    <t>(0.39 - 0.58)</t>
  </si>
  <si>
    <t>$437</t>
  </si>
  <si>
    <t>($223 - $554)</t>
  </si>
  <si>
    <t>$6,225</t>
  </si>
  <si>
    <t>($4,541 - $10,956)</t>
  </si>
  <si>
    <t>mean</t>
  </si>
  <si>
    <t>mean_value</t>
  </si>
  <si>
    <t>riviereHigh</t>
  </si>
  <si>
    <t>riviereLow</t>
  </si>
  <si>
    <t>riviereHighDecision</t>
  </si>
  <si>
    <t>riviereLowDecision</t>
  </si>
  <si>
    <t>RIVIERE</t>
  </si>
  <si>
    <t>switchRiviereLow</t>
  </si>
  <si>
    <t>switchRiviereHigh</t>
  </si>
  <si>
    <t>GDPPC</t>
  </si>
  <si>
    <t>comparison</t>
  </si>
  <si>
    <t>Modeling the impact of the 7-valent pneumococcal conjugate v</t>
  </si>
  <si>
    <t xml:space="preserve">The health and economic impact of vaccination with 7-valent </t>
  </si>
  <si>
    <t xml:space="preserve">Cost-effectiveness analysis of pneumococcal vaccination for </t>
  </si>
  <si>
    <t>Cost-effectiveness and health benefits of pediatric 23-valen</t>
  </si>
  <si>
    <t>Estimating the cost-effectiveness of an infant 13-valent pne</t>
  </si>
  <si>
    <t>Cost-effectiveness analysis of routine 13-valent pneumococca</t>
  </si>
  <si>
    <t xml:space="preserve">Impact of routine PCV7 (Prevenar) vaccination of infants on </t>
  </si>
  <si>
    <t xml:space="preserve">Economic impact of pneumococcal protein-D conjugate vaccine </t>
  </si>
  <si>
    <t xml:space="preserve">Cost-effectiveness analysis of a universal mass vaccination </t>
  </si>
  <si>
    <t>Cost-effectiveness analysis of infant universal routine pneu</t>
  </si>
  <si>
    <t>Impact and cost effectiveness of pneumococcal conjugate vacc</t>
  </si>
  <si>
    <t>An updated cost-effectiveness analysis of pneumococcal conju</t>
  </si>
  <si>
    <t>Cost-utility analysis of 10-and 13-valent pneumococcal conju</t>
  </si>
  <si>
    <t xml:space="preserve">Do pneumococcal conjugate vaccines represent good value for </t>
  </si>
  <si>
    <t>Cost-effectiveness analysis of pneumococcal vaccination with</t>
  </si>
  <si>
    <t>Cost-effectiveness of 13-valent pneumococcal conjugate vacci</t>
  </si>
  <si>
    <t xml:space="preserve">Towards the introduction of pneumococcal conjugate vaccines </t>
  </si>
  <si>
    <t>Economic impact of pneumococcal conjugate vaccination in Bra</t>
  </si>
  <si>
    <t xml:space="preserve">Estimating the cost-effectiveness of pneumococcal conjugate </t>
  </si>
  <si>
    <t>Economic evaluation of pneumococcal conjugate vaccination in</t>
  </si>
  <si>
    <t>Cost-effectiveness analysis of the 10- and 13-valent pneumoc</t>
  </si>
  <si>
    <t xml:space="preserve">The cost effectiveness of pneumococcal conjugate vaccine in </t>
  </si>
  <si>
    <t>Assessment of health benefits and cost-effectiveness of 10-v</t>
  </si>
  <si>
    <t>Pneumonia Prevention during a Humanitarian Emergency: Cost-e</t>
  </si>
  <si>
    <t>Cost-effectiveness analysis of the introduction of the pneum</t>
  </si>
  <si>
    <t>Cost-effectiveness analysis of 10- and 13-valent pneumococca</t>
  </si>
  <si>
    <t>Pneumonia prevention: Cost-effectiveness analyses of two vac</t>
  </si>
  <si>
    <t>Postintroduction Study of Cost Effectiveness of Pneumococcal</t>
  </si>
  <si>
    <t>Cost-Effectiveness Analysis of Pneumococcal and Influenza Va</t>
  </si>
  <si>
    <t>Cost-effectiveness of childhood pneumococcal vaccination pro</t>
  </si>
  <si>
    <t>Sustaining pneumococcal vaccination after transitioning from</t>
  </si>
  <si>
    <t>Cost-effectiveness of introducing the pneumococcal conjugate</t>
  </si>
  <si>
    <t>Cost-effectiveness of introducing a domestic pneumococcal co</t>
  </si>
  <si>
    <t>Cost-effectiveness of new pneumococcal conjugate vaccines in</t>
  </si>
  <si>
    <t xml:space="preserve">Cost-effectiveness of pneumococcal conjugate vaccines of 7, </t>
  </si>
  <si>
    <t>Cost-effectiveness and cost utility analysis of three pneumo</t>
  </si>
  <si>
    <t>Cost-effectiveness analysis of pneumococcal conjugate vaccin</t>
  </si>
  <si>
    <t xml:space="preserve">Cost-effectiveness of pneumococcal conjugate vaccination in </t>
  </si>
  <si>
    <t>Cost-effectiveness analysis of the available pneumococcal co</t>
  </si>
  <si>
    <t>Cost-effectiveness of introducing the 10-valent pneumococcal</t>
  </si>
  <si>
    <t>Potential cost-effectiveness of pneumococcal conjugate vacci</t>
  </si>
  <si>
    <t>Cost effectiveness of heptavalent pneumococcal conjugate vac</t>
  </si>
  <si>
    <t>A cost-effectiveness analysis of a 10-valent pneumococcal co</t>
  </si>
  <si>
    <t>Cost-effectiveness of the CRM-based 7-valent pneumococcal co</t>
  </si>
  <si>
    <t xml:space="preserve">Outcomes and costs associated with PHiD-CV, a new protein D </t>
  </si>
  <si>
    <t>Post-introduction economic evaluation of pneumococcal conjug</t>
  </si>
  <si>
    <t>How cost effective is switching universal vaccination from P</t>
  </si>
  <si>
    <t>Cost-Effectiveness Comparison of Pneumococcal Conjugate Vacc</t>
  </si>
  <si>
    <t>Cost-Effectiveness of the Pneumococcal Conjugate Vaccine (10</t>
  </si>
  <si>
    <t>Estimating the Impact of Switching from a Lower to Higher Va</t>
  </si>
  <si>
    <t>Pneumococcal conjugate vaccination in The Gambia: health imp</t>
  </si>
  <si>
    <t>Cost-Effectiveness of the 13-Valent Pneumococcal Conjugate V</t>
  </si>
  <si>
    <t>Cost-effectiveness analysis of replacing the 10-valent pneum</t>
  </si>
  <si>
    <t>Cost-Effectiveness and Budget Impact Analyses of Pneumococca</t>
  </si>
  <si>
    <t>Cost-effectiveness analysis of domestic 13-valent pneumococc</t>
  </si>
  <si>
    <t>Estimating the population health and economic impacts of int</t>
  </si>
  <si>
    <t>Modeling the sustained use of the 13-valent pneumococcal con</t>
  </si>
  <si>
    <t>Healthcare/payer</t>
  </si>
  <si>
    <t>priceYear</t>
  </si>
  <si>
    <t>priceIntvNCU</t>
  </si>
  <si>
    <t>priceIntvUSD</t>
  </si>
  <si>
    <t>priceCompNCU</t>
  </si>
  <si>
    <t>priceCompUSD</t>
  </si>
  <si>
    <t>efficacyPneum</t>
  </si>
  <si>
    <t>icerNCU</t>
  </si>
  <si>
    <t>gdp1decide</t>
  </si>
  <si>
    <t>gdp3decide</t>
  </si>
  <si>
    <t>icerGdppc</t>
  </si>
  <si>
    <t>OHgdppc</t>
  </si>
  <si>
    <t>Ohdecide</t>
  </si>
  <si>
    <t>OLgdppc</t>
  </si>
  <si>
    <t>Not cost-effective</t>
  </si>
  <si>
    <t>Cost-saving</t>
  </si>
  <si>
    <t>Cost-effective</t>
  </si>
  <si>
    <t>OLdecide</t>
  </si>
  <si>
    <t>WHgdppc</t>
  </si>
  <si>
    <t>WLgdppc</t>
  </si>
  <si>
    <t>WHdecide</t>
  </si>
  <si>
    <t>WLdecide</t>
  </si>
  <si>
    <t>RHgdppc</t>
  </si>
  <si>
    <t>RHdecide</t>
  </si>
  <si>
    <t>RLgdppc</t>
  </si>
  <si>
    <t>RLdecide</t>
  </si>
  <si>
    <t>studyDecide</t>
  </si>
  <si>
    <t>switchOL</t>
  </si>
  <si>
    <t>switchOH</t>
  </si>
  <si>
    <t>switchWL</t>
  </si>
  <si>
    <t>switchWH</t>
  </si>
  <si>
    <t>switchRH</t>
  </si>
  <si>
    <t>switchRL</t>
  </si>
  <si>
    <t>switches</t>
  </si>
  <si>
    <t>Three doses</t>
  </si>
  <si>
    <t>Four doses</t>
  </si>
  <si>
    <t>One/two doses</t>
  </si>
  <si>
    <t>costSaving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</si>
</sst>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$&quot;#,##0;[Red]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$&quot;#,##0"/>
    <numFmt numFmtId="168" formatCode="0.0%"/>
    <numFmt numFmtId="169" formatCode="_-* #,##0_-;\-* #,##0_-;_-* &quot;-&quot;??_-;_-@_-"/>
    <numFmt numFmtId="170" formatCode="000"/>
    <numFmt numFmtId="171" formatCode="0.0"/>
  </numFmts>
  <fonts count="4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color rgb="FFC00000"/>
      <name val="Arial"/>
      <family val="2"/>
    </font>
    <font>
      <sz val="10"/>
      <color theme="4" tint="-0.249977111117893"/>
      <name val="Arial"/>
      <family val="2"/>
    </font>
    <font>
      <sz val="10"/>
      <color theme="7" tint="-0.499984740745262"/>
      <name val="Arial"/>
      <family val="2"/>
    </font>
    <font>
      <b/>
      <sz val="10"/>
      <name val="Arial"/>
      <family val="2"/>
    </font>
    <font>
      <b/>
      <sz val="10"/>
      <color theme="1"/>
      <name val="Arial "/>
    </font>
    <font>
      <sz val="10"/>
      <color theme="1"/>
      <name val="Arial "/>
    </font>
    <font>
      <b/>
      <sz val="10"/>
      <color rgb="FFC00000"/>
      <name val="Arial "/>
    </font>
    <font>
      <sz val="10"/>
      <color rgb="FFC00000"/>
      <name val="Arial "/>
    </font>
    <font>
      <sz val="10"/>
      <name val="Arial 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FF0000"/>
      <name val="Arial "/>
    </font>
    <font>
      <sz val="10"/>
      <color rgb="FFFF0000"/>
      <name val="Arial "/>
    </font>
    <font>
      <sz val="11"/>
      <color theme="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3"/>
      <color rgb="FF0063A6"/>
      <name val="Calibri"/>
      <family val="2"/>
      <scheme val="minor"/>
    </font>
    <font>
      <sz val="10"/>
      <color rgb="FF00B05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10"/>
      <color rgb="FFFF0000"/>
      <name val="Arial Narrow"/>
      <family val="2"/>
    </font>
    <font>
      <sz val="10"/>
      <color theme="1" tint="0.249977111117893"/>
      <name val="Arial Narrow"/>
      <family val="2"/>
    </font>
    <font>
      <sz val="11"/>
      <color theme="1" tint="0.249977111117893"/>
      <name val="Arial Narrow"/>
      <family val="2"/>
    </font>
    <font>
      <b/>
      <sz val="10"/>
      <color theme="1" tint="0.249977111117893"/>
      <name val="Arial Narrow"/>
      <family val="2"/>
    </font>
    <font>
      <sz val="10"/>
      <color rgb="FFC00000"/>
      <name val="Arial Narrow"/>
      <family val="2"/>
    </font>
    <font>
      <sz val="11"/>
      <color theme="1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</cellStyleXfs>
  <cellXfs count="219">
    <xf numFmtId="0" fontId="0" fillId="0" borderId="0" xfId="0"/>
    <xf numFmtId="0" fontId="1" fillId="0" borderId="0" xfId="0" applyFont="1"/>
    <xf numFmtId="0" fontId="2" fillId="0" borderId="0" xfId="0" applyFont="1"/>
    <xf numFmtId="1" fontId="4" fillId="0" borderId="0" xfId="1" applyNumberFormat="1" applyFont="1"/>
    <xf numFmtId="0" fontId="6" fillId="0" borderId="0" xfId="0" applyFont="1"/>
    <xf numFmtId="0" fontId="8" fillId="0" borderId="0" xfId="0" applyFont="1"/>
    <xf numFmtId="0" fontId="9" fillId="0" borderId="0" xfId="0" applyFont="1"/>
    <xf numFmtId="9" fontId="1" fillId="0" borderId="0" xfId="2" applyFont="1"/>
    <xf numFmtId="0" fontId="10" fillId="0" borderId="0" xfId="0" applyFont="1"/>
    <xf numFmtId="0" fontId="4" fillId="0" borderId="0" xfId="0" applyFont="1"/>
    <xf numFmtId="167" fontId="4" fillId="0" borderId="0" xfId="1" applyNumberFormat="1" applyFont="1"/>
    <xf numFmtId="167" fontId="1" fillId="0" borderId="0" xfId="0" applyNumberFormat="1" applyFont="1"/>
    <xf numFmtId="0" fontId="1" fillId="3" borderId="0" xfId="0" applyFont="1" applyFill="1"/>
    <xf numFmtId="1" fontId="4" fillId="3" borderId="0" xfId="1" applyNumberFormat="1" applyFont="1" applyFill="1"/>
    <xf numFmtId="0" fontId="4" fillId="3" borderId="0" xfId="0" applyFont="1" applyFill="1"/>
    <xf numFmtId="167" fontId="4" fillId="3" borderId="0" xfId="1" applyNumberFormat="1" applyFont="1" applyFill="1"/>
    <xf numFmtId="167" fontId="2" fillId="0" borderId="0" xfId="0" applyNumberFormat="1" applyFont="1"/>
    <xf numFmtId="168" fontId="1" fillId="3" borderId="0" xfId="2" applyNumberFormat="1" applyFont="1" applyFill="1"/>
    <xf numFmtId="9" fontId="2" fillId="0" borderId="0" xfId="2" applyFont="1"/>
    <xf numFmtId="9" fontId="1" fillId="3" borderId="0" xfId="2" applyFont="1" applyFill="1"/>
    <xf numFmtId="9" fontId="1" fillId="0" borderId="0" xfId="2" applyFont="1" applyFill="1"/>
    <xf numFmtId="0" fontId="2" fillId="0" borderId="0" xfId="0" applyFont="1" applyAlignment="1">
      <alignment horizontal="left"/>
    </xf>
    <xf numFmtId="1" fontId="4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1" fontId="4" fillId="3" borderId="0" xfId="1" applyNumberFormat="1" applyFont="1" applyFill="1" applyAlignment="1">
      <alignment horizontal="left"/>
    </xf>
    <xf numFmtId="0" fontId="6" fillId="3" borderId="0" xfId="0" applyFont="1" applyFill="1"/>
    <xf numFmtId="168" fontId="1" fillId="0" borderId="0" xfId="2" applyNumberFormat="1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" fontId="4" fillId="0" borderId="0" xfId="1" applyNumberFormat="1" applyFont="1" applyAlignment="1">
      <alignment vertical="center"/>
    </xf>
    <xf numFmtId="167" fontId="4" fillId="0" borderId="0" xfId="1" applyNumberFormat="1" applyFont="1" applyAlignment="1">
      <alignment vertical="center"/>
    </xf>
    <xf numFmtId="1" fontId="4" fillId="0" borderId="0" xfId="1" applyNumberFormat="1" applyFont="1" applyAlignment="1">
      <alignment horizontal="center" vertical="center"/>
    </xf>
    <xf numFmtId="169" fontId="1" fillId="0" borderId="0" xfId="3" applyNumberFormat="1" applyFont="1"/>
    <xf numFmtId="0" fontId="4" fillId="0" borderId="0" xfId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167" fontId="11" fillId="0" borderId="0" xfId="0" applyNumberFormat="1" applyFont="1" applyAlignment="1">
      <alignment vertical="center"/>
    </xf>
    <xf numFmtId="9" fontId="11" fillId="0" borderId="0" xfId="2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168" fontId="4" fillId="0" borderId="0" xfId="2" applyNumberFormat="1" applyFont="1" applyFill="1" applyAlignment="1">
      <alignment vertical="center"/>
    </xf>
    <xf numFmtId="9" fontId="4" fillId="0" borderId="0" xfId="2" applyFont="1" applyFill="1" applyAlignment="1">
      <alignment vertical="center"/>
    </xf>
    <xf numFmtId="167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" fontId="16" fillId="0" borderId="0" xfId="1" applyNumberFormat="1" applyFont="1" applyAlignment="1">
      <alignment horizontal="center" vertical="center"/>
    </xf>
    <xf numFmtId="1" fontId="16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169" fontId="6" fillId="0" borderId="0" xfId="3" applyNumberFormat="1" applyFont="1"/>
    <xf numFmtId="170" fontId="4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9" fontId="11" fillId="0" borderId="0" xfId="2" applyFont="1" applyFill="1" applyAlignment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2" borderId="0" xfId="0" applyFont="1" applyFill="1"/>
    <xf numFmtId="0" fontId="11" fillId="3" borderId="0" xfId="0" applyFont="1" applyFill="1"/>
    <xf numFmtId="0" fontId="11" fillId="0" borderId="0" xfId="0" applyFont="1"/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1" applyFont="1" applyAlignment="1">
      <alignment vertical="center"/>
    </xf>
    <xf numFmtId="0" fontId="4" fillId="2" borderId="0" xfId="0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1" fillId="2" borderId="0" xfId="0" applyFont="1" applyFill="1"/>
    <xf numFmtId="170" fontId="6" fillId="0" borderId="0" xfId="0" applyNumberFormat="1" applyFont="1" applyAlignment="1">
      <alignment horizontal="center" vertical="center"/>
    </xf>
    <xf numFmtId="1" fontId="6" fillId="0" borderId="0" xfId="1" applyNumberFormat="1" applyFont="1" applyAlignment="1">
      <alignment horizontal="center" vertical="center"/>
    </xf>
    <xf numFmtId="1" fontId="6" fillId="0" borderId="0" xfId="1" applyNumberFormat="1" applyFont="1" applyAlignment="1">
      <alignment vertical="center"/>
    </xf>
    <xf numFmtId="167" fontId="6" fillId="0" borderId="0" xfId="1" applyNumberFormat="1" applyFont="1" applyAlignment="1">
      <alignment vertical="center"/>
    </xf>
    <xf numFmtId="168" fontId="6" fillId="0" borderId="0" xfId="2" applyNumberFormat="1" applyFont="1" applyFill="1" applyAlignment="1">
      <alignment vertical="center"/>
    </xf>
    <xf numFmtId="9" fontId="6" fillId="0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68" fontId="1" fillId="5" borderId="0" xfId="2" applyNumberFormat="1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68" fontId="1" fillId="6" borderId="0" xfId="2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168" fontId="1" fillId="7" borderId="0" xfId="2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168" fontId="1" fillId="8" borderId="0" xfId="2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168" fontId="1" fillId="9" borderId="0" xfId="2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8" fontId="2" fillId="6" borderId="0" xfId="2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68" fontId="2" fillId="5" borderId="0" xfId="2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168" fontId="2" fillId="7" borderId="0" xfId="2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168" fontId="2" fillId="8" borderId="0" xfId="2" applyNumberFormat="1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8" fontId="2" fillId="9" borderId="0" xfId="2" applyNumberFormat="1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 applyAlignment="1">
      <alignment horizontal="center" vertical="center"/>
    </xf>
    <xf numFmtId="0" fontId="26" fillId="5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9" fontId="1" fillId="0" borderId="1" xfId="2" applyFont="1" applyFill="1" applyBorder="1"/>
    <xf numFmtId="0" fontId="1" fillId="0" borderId="5" xfId="0" applyFont="1" applyBorder="1" applyAlignment="1">
      <alignment vertical="center" wrapText="1"/>
    </xf>
    <xf numFmtId="0" fontId="0" fillId="10" borderId="1" xfId="0" applyFill="1" applyBorder="1" applyAlignment="1">
      <alignment horizontal="center" vertical="center"/>
    </xf>
    <xf numFmtId="168" fontId="0" fillId="10" borderId="1" xfId="2" applyNumberFormat="1" applyFont="1" applyFill="1" applyBorder="1" applyAlignment="1">
      <alignment horizontal="center" vertical="center"/>
    </xf>
    <xf numFmtId="168" fontId="0" fillId="10" borderId="1" xfId="0" applyNumberForma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168" fontId="28" fillId="10" borderId="1" xfId="2" applyNumberFormat="1" applyFont="1" applyFill="1" applyBorder="1" applyAlignment="1">
      <alignment horizontal="center" vertical="center"/>
    </xf>
    <xf numFmtId="168" fontId="28" fillId="10" borderId="1" xfId="0" applyNumberFormat="1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 vertical="center" wrapText="1"/>
    </xf>
    <xf numFmtId="165" fontId="0" fillId="10" borderId="1" xfId="0" applyNumberFormat="1" applyFill="1" applyBorder="1"/>
    <xf numFmtId="165" fontId="28" fillId="10" borderId="1" xfId="0" applyNumberFormat="1" applyFont="1" applyFill="1" applyBorder="1" applyAlignment="1">
      <alignment horizontal="left" vertical="center"/>
    </xf>
    <xf numFmtId="1" fontId="4" fillId="11" borderId="0" xfId="1" applyNumberFormat="1" applyFont="1" applyFill="1" applyAlignment="1">
      <alignment vertical="center"/>
    </xf>
    <xf numFmtId="167" fontId="4" fillId="11" borderId="0" xfId="0" applyNumberFormat="1" applyFont="1" applyFill="1" applyAlignment="1">
      <alignment vertical="center"/>
    </xf>
    <xf numFmtId="0" fontId="4" fillId="11" borderId="0" xfId="1" applyFont="1" applyFill="1" applyAlignment="1">
      <alignment vertical="center"/>
    </xf>
    <xf numFmtId="167" fontId="4" fillId="11" borderId="0" xfId="1" applyNumberFormat="1" applyFont="1" applyFill="1" applyAlignment="1">
      <alignment vertical="center"/>
    </xf>
    <xf numFmtId="0" fontId="4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1" fontId="33" fillId="0" borderId="0" xfId="1" applyNumberFormat="1" applyFont="1" applyAlignment="1">
      <alignment vertical="center"/>
    </xf>
    <xf numFmtId="0" fontId="33" fillId="0" borderId="0" xfId="0" applyFont="1" applyAlignment="1">
      <alignment vertical="center"/>
    </xf>
    <xf numFmtId="3" fontId="33" fillId="0" borderId="0" xfId="0" applyNumberFormat="1" applyFont="1" applyAlignment="1">
      <alignment vertical="center"/>
    </xf>
    <xf numFmtId="1" fontId="33" fillId="11" borderId="0" xfId="1" applyNumberFormat="1" applyFont="1" applyFill="1" applyAlignment="1">
      <alignment vertical="center"/>
    </xf>
    <xf numFmtId="167" fontId="33" fillId="11" borderId="0" xfId="0" applyNumberFormat="1" applyFont="1" applyFill="1" applyAlignment="1">
      <alignment vertical="center"/>
    </xf>
    <xf numFmtId="167" fontId="33" fillId="0" borderId="0" xfId="1" applyNumberFormat="1" applyFont="1" applyAlignment="1">
      <alignment vertical="center"/>
    </xf>
    <xf numFmtId="168" fontId="33" fillId="0" borderId="0" xfId="2" applyNumberFormat="1" applyFont="1" applyFill="1" applyAlignment="1">
      <alignment vertical="center"/>
    </xf>
    <xf numFmtId="9" fontId="33" fillId="0" borderId="0" xfId="2" applyFont="1" applyFill="1" applyAlignment="1">
      <alignment horizontal="center" vertical="center"/>
    </xf>
    <xf numFmtId="168" fontId="1" fillId="0" borderId="1" xfId="2" applyNumberFormat="1" applyFont="1" applyFill="1" applyBorder="1"/>
    <xf numFmtId="0" fontId="2" fillId="0" borderId="0" xfId="0" applyFont="1" applyAlignment="1">
      <alignment vertical="center"/>
    </xf>
    <xf numFmtId="0" fontId="34" fillId="0" borderId="0" xfId="0" applyFont="1"/>
    <xf numFmtId="0" fontId="13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9" fontId="13" fillId="0" borderId="0" xfId="0" applyNumberFormat="1" applyFont="1" applyAlignment="1">
      <alignment vertical="center"/>
    </xf>
    <xf numFmtId="9" fontId="15" fillId="0" borderId="0" xfId="0" applyNumberFormat="1" applyFont="1" applyAlignment="1">
      <alignment vertical="center"/>
    </xf>
    <xf numFmtId="164" fontId="13" fillId="0" borderId="0" xfId="0" applyNumberFormat="1" applyFont="1" applyAlignment="1">
      <alignment vertical="center"/>
    </xf>
    <xf numFmtId="9" fontId="22" fillId="0" borderId="0" xfId="0" applyNumberFormat="1" applyFont="1" applyAlignment="1">
      <alignment vertical="center"/>
    </xf>
    <xf numFmtId="1" fontId="13" fillId="0" borderId="0" xfId="0" applyNumberFormat="1" applyFont="1" applyAlignment="1">
      <alignment vertical="center"/>
    </xf>
    <xf numFmtId="9" fontId="22" fillId="0" borderId="0" xfId="2" applyFont="1" applyAlignment="1">
      <alignment vertical="center"/>
    </xf>
    <xf numFmtId="0" fontId="13" fillId="3" borderId="0" xfId="0" applyFont="1" applyFill="1" applyAlignment="1">
      <alignment vertical="center"/>
    </xf>
    <xf numFmtId="9" fontId="13" fillId="3" borderId="0" xfId="0" applyNumberFormat="1" applyFont="1" applyFill="1" applyAlignment="1">
      <alignment vertical="center"/>
    </xf>
    <xf numFmtId="0" fontId="2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9" fontId="35" fillId="0" borderId="0" xfId="2" applyFont="1" applyFill="1" applyAlignment="1">
      <alignment horizontal="center" vertical="center"/>
    </xf>
    <xf numFmtId="0" fontId="36" fillId="0" borderId="0" xfId="0" applyFont="1" applyAlignment="1">
      <alignment horizontal="left" vertical="center"/>
    </xf>
    <xf numFmtId="170" fontId="36" fillId="0" borderId="0" xfId="0" applyNumberFormat="1" applyFont="1" applyAlignment="1">
      <alignment horizontal="left" vertical="center"/>
    </xf>
    <xf numFmtId="1" fontId="36" fillId="0" borderId="0" xfId="1" applyNumberFormat="1" applyFont="1" applyAlignment="1">
      <alignment horizontal="left" vertical="center"/>
    </xf>
    <xf numFmtId="0" fontId="36" fillId="0" borderId="0" xfId="0" applyFont="1" applyAlignment="1">
      <alignment vertical="center"/>
    </xf>
    <xf numFmtId="0" fontId="36" fillId="0" borderId="0" xfId="0" applyFont="1" applyAlignment="1">
      <alignment horizontal="center" vertical="center"/>
    </xf>
    <xf numFmtId="1" fontId="36" fillId="0" borderId="0" xfId="1" applyNumberFormat="1" applyFont="1" applyAlignment="1">
      <alignment vertical="center"/>
    </xf>
    <xf numFmtId="171" fontId="36" fillId="0" borderId="0" xfId="0" applyNumberFormat="1" applyFont="1" applyAlignment="1">
      <alignment horizontal="left" vertical="center"/>
    </xf>
    <xf numFmtId="2" fontId="36" fillId="0" borderId="0" xfId="1" applyNumberFormat="1" applyFont="1" applyAlignment="1">
      <alignment horizontal="center" vertical="center"/>
    </xf>
    <xf numFmtId="9" fontId="36" fillId="0" borderId="0" xfId="2" applyFont="1" applyFill="1" applyAlignment="1">
      <alignment horizontal="center" vertic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vertical="center"/>
    </xf>
    <xf numFmtId="170" fontId="39" fillId="0" borderId="0" xfId="0" applyNumberFormat="1" applyFont="1" applyAlignment="1">
      <alignment horizontal="left" vertical="center"/>
    </xf>
    <xf numFmtId="0" fontId="39" fillId="0" borderId="0" xfId="0" applyFont="1" applyAlignment="1">
      <alignment horizontal="left" vertical="center"/>
    </xf>
    <xf numFmtId="1" fontId="39" fillId="0" borderId="0" xfId="1" applyNumberFormat="1" applyFont="1" applyAlignment="1">
      <alignment horizontal="left" vertical="center"/>
    </xf>
    <xf numFmtId="0" fontId="39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1" fontId="39" fillId="0" borderId="0" xfId="1" applyNumberFormat="1" applyFont="1" applyAlignment="1">
      <alignment vertical="center"/>
    </xf>
    <xf numFmtId="171" fontId="39" fillId="0" borderId="0" xfId="0" applyNumberFormat="1" applyFont="1" applyAlignment="1">
      <alignment horizontal="left" vertical="center"/>
    </xf>
    <xf numFmtId="2" fontId="39" fillId="0" borderId="0" xfId="1" applyNumberFormat="1" applyFont="1" applyAlignment="1">
      <alignment horizontal="center" vertical="center"/>
    </xf>
    <xf numFmtId="0" fontId="40" fillId="0" borderId="0" xfId="0" applyFont="1" applyAlignment="1">
      <alignment horizontal="center"/>
    </xf>
    <xf numFmtId="2" fontId="36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vertical="center"/>
    </xf>
    <xf numFmtId="0" fontId="41" fillId="0" borderId="0" xfId="0" applyFont="1" applyAlignment="1">
      <alignment vertical="center"/>
    </xf>
    <xf numFmtId="0" fontId="36" fillId="0" borderId="0" xfId="0" applyFont="1"/>
    <xf numFmtId="164" fontId="36" fillId="0" borderId="0" xfId="0" applyNumberFormat="1" applyFont="1" applyAlignment="1">
      <alignment vertical="center"/>
    </xf>
    <xf numFmtId="3" fontId="36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7" fontId="36" fillId="0" borderId="0" xfId="0" applyNumberFormat="1" applyFont="1" applyAlignment="1">
      <alignment horizontal="center" vertical="center"/>
    </xf>
    <xf numFmtId="9" fontId="36" fillId="0" borderId="0" xfId="2" applyFont="1" applyFill="1" applyAlignment="1">
      <alignment horizontal="left" vertical="center"/>
    </xf>
    <xf numFmtId="9" fontId="36" fillId="0" borderId="0" xfId="2" applyFont="1" applyFill="1" applyAlignment="1">
      <alignment vertical="center"/>
    </xf>
    <xf numFmtId="0" fontId="43" fillId="0" borderId="0" xfId="0" applyFont="1" applyAlignment="1">
      <alignment horizontal="center"/>
    </xf>
    <xf numFmtId="170" fontId="36" fillId="0" borderId="0" xfId="0" applyNumberFormat="1" applyFont="1" applyAlignment="1">
      <alignment horizontal="center" vertical="center"/>
    </xf>
    <xf numFmtId="170" fontId="39" fillId="0" borderId="0" xfId="0" applyNumberFormat="1" applyFont="1" applyAlignment="1">
      <alignment horizontal="center" vertical="center"/>
    </xf>
    <xf numFmtId="1" fontId="36" fillId="0" borderId="0" xfId="1" applyNumberFormat="1" applyFont="1" applyAlignment="1">
      <alignment horizontal="center" vertical="center"/>
    </xf>
    <xf numFmtId="1" fontId="39" fillId="0" borderId="0" xfId="1" applyNumberFormat="1" applyFont="1" applyAlignment="1">
      <alignment horizontal="center" vertical="center"/>
    </xf>
    <xf numFmtId="171" fontId="36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horizontal="center" vertical="center"/>
    </xf>
    <xf numFmtId="171" fontId="39" fillId="0" borderId="0" xfId="0" applyNumberFormat="1" applyFont="1" applyAlignment="1">
      <alignment horizontal="center" vertical="center"/>
    </xf>
    <xf numFmtId="2" fontId="36" fillId="0" borderId="0" xfId="2" applyNumberFormat="1" applyFont="1" applyFill="1" applyAlignment="1">
      <alignment horizontal="center" vertical="center"/>
    </xf>
    <xf numFmtId="165" fontId="0" fillId="10" borderId="1" xfId="0" applyNumberFormat="1" applyFill="1" applyBorder="1" applyAlignment="1">
      <alignment horizontal="left" vertical="center"/>
    </xf>
    <xf numFmtId="0" fontId="32" fillId="10" borderId="0" xfId="0" applyFont="1" applyFill="1" applyAlignment="1">
      <alignment horizontal="left" vertical="center" wrapText="1"/>
    </xf>
    <xf numFmtId="0" fontId="27" fillId="0" borderId="7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center"/>
    </xf>
    <xf numFmtId="0" fontId="0" fillId="10" borderId="1" xfId="0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</cellXfs>
  <cellStyles count="4">
    <cellStyle name="Comma" xfId="3" builtinId="3"/>
    <cellStyle name="Normal" xfId="0" builtinId="0"/>
    <cellStyle name="Normal 2" xfId="1" xr:uid="{DE3E7738-CE22-4DD7-8A4A-F5926D3F2546}"/>
    <cellStyle name="Per cent" xfId="2" builtinId="5"/>
  </cellStyles>
  <dxfs count="0"/>
  <tableStyles count="0" defaultTableStyle="TableStyleMedium2" defaultPivotStyle="PivotStyleLight16"/>
  <colors>
    <mruColors>
      <color rgb="FF0063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25400</xdr:colOff>
      <xdr:row>6</xdr:row>
      <xdr:rowOff>77786</xdr:rowOff>
    </xdr:from>
    <xdr:to>
      <xdr:col>37</xdr:col>
      <xdr:colOff>60452</xdr:colOff>
      <xdr:row>39</xdr:row>
      <xdr:rowOff>121919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51FBBCE-DFD6-F929-014B-E2041C2B4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0600" y="1144586"/>
          <a:ext cx="9458452" cy="59115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ifofon Akpan" id="{7A8692D9-854D-46E0-85C6-5E293A59DFE2}" userId="Edifofon Akpan" providerId="None"/>
  <person displayName="Edifofon Akpan" id="{5DC5FA4F-4B92-6641-84B1-E04C91CC33E8}" userId="e.akpan@unimelb.edu.au" providerId="PeoplePicker"/>
  <person displayName="Edifofon Akpan" id="{550C7F62-D212-4F60-B2A3-176F2E873CFF}" userId="S::e.akpan@unimelb.edu.au::cea16780-a6e4-441a-89d7-7e9ce4c7f2bf" providerId="AD"/>
  <person displayName="Natalie Carvalho" id="{5181B9F6-6976-6B44-8BA5-513C44B5406A}" userId="S::natalie.carvalho@unimelb.edu.au::c62b05fc-c4b0-409c-9ff0-eae2144a14f2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2-11-07T04:29:11.92" personId="{5181B9F6-6976-6B44-8BA5-513C44B5406A}" id="{A20217E3-278A-AF4F-8C7A-2AEF2229A601}">
    <text>Who pays for healthcare is important too (OOP) in healthcare /payer perspective</text>
  </threadedComment>
  <threadedComment ref="Z1" dT="2022-10-10T06:34:19.77" personId="{7A8692D9-854D-46E0-85C6-5E293A59DFE2}" id="{D43EACBA-0A03-FD4B-949E-9BCD036E431C}">
    <text xml:space="preserve">bacteremia, sepsis, meningitis, and osteomyelitis </text>
  </threadedComment>
  <threadedComment ref="S88" dT="2022-10-28T11:46:09.01" personId="{7A8692D9-854D-46E0-85C6-5E293A59DFE2}" id="{FC791BED-CFB7-1E40-B832-07E0FD487DAA}">
    <text>It was assumed that the price would decrease 3% per year</text>
  </threadedComment>
  <threadedComment ref="X102" dT="2022-10-23T16:57:43.71" personId="{7A8692D9-854D-46E0-85C6-5E293A59DFE2}" id="{B126892A-3964-4548-9692-85A0D51EE1C1}">
    <text>See Figure 1</text>
  </threadedComment>
  <threadedComment ref="AC121" dT="2023-03-22T13:00:42.11" personId="{550C7F62-D212-4F60-B2A3-176F2E873CFF}" id="{80141E4C-7FB4-4A4A-866F-3B68CCD4AF32}">
    <text>Guess from the graph</text>
  </threadedComment>
  <threadedComment ref="Z156" dT="2022-10-23T17:35:17.60" personId="{7A8692D9-854D-46E0-85C6-5E293A59DFE2}" id="{EC26F930-4047-A443-97C9-51B8DF205DC5}">
    <text>Only meningitis</text>
  </threadedComment>
  <threadedComment ref="Z157" dT="2022-10-23T17:35:17.60" personId="{7A8692D9-854D-46E0-85C6-5E293A59DFE2}" id="{A4324429-0C41-5446-BAB6-2FB443237E4F}">
    <text>Only meningitis</text>
  </threadedComment>
  <threadedComment ref="Z158" dT="2022-10-23T17:35:17.60" personId="{7A8692D9-854D-46E0-85C6-5E293A59DFE2}" id="{67619DD8-7BFA-AB49-B8E0-B1856982774C}">
    <text>Only meningitis</text>
  </threadedComment>
  <threadedComment ref="Z159" dT="2022-10-23T17:35:17.60" personId="{7A8692D9-854D-46E0-85C6-5E293A59DFE2}" id="{EDD22237-9993-174A-B8F1-6E92AFC05D70}">
    <text>Only meningitis</text>
  </threadedComment>
  <threadedComment ref="Z160" dT="2022-10-23T17:35:17.60" personId="{7A8692D9-854D-46E0-85C6-5E293A59DFE2}" id="{650C23F2-306A-8348-8F62-1132EB49A9FE}">
    <text>Only meningitis</text>
  </threadedComment>
  <threadedComment ref="Z161" dT="2022-10-23T17:35:17.60" personId="{7A8692D9-854D-46E0-85C6-5E293A59DFE2}" id="{FFF762F4-FD09-6C44-A975-F01B3B487ADA}">
    <text>Only meningitis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Q1" dT="2022-11-07T04:29:11.92" personId="{5181B9F6-6976-6B44-8BA5-513C44B5406A}" id="{1704C869-E01B-5743-BBA0-AE8A7B928D5D}">
    <text>Who pays for healthcare is important too (OOP) in healthcare /payer perspective</text>
  </threadedComment>
  <threadedComment ref="AG1" dT="2022-10-10T06:34:19.77" personId="{7A8692D9-854D-46E0-85C6-5E293A59DFE2}" id="{9358BC43-F352-48F4-BD3C-0874C0AA1B5E}">
    <text xml:space="preserve">bacteremia, sepsis, meningitis, and osteomyelitis </text>
  </threadedComment>
  <threadedComment ref="AJ1" dT="2022-10-10T06:38:07.32" personId="{7A8692D9-854D-46E0-85C6-5E293A59DFE2}" id="{B512160C-9FAD-46AA-9BC7-E1A6BE010D3C}">
    <text>Are the efficacy assumptions specific to the types of PCV vaccine used, or just generic</text>
  </threadedComment>
  <threadedComment ref="BO1" dT="2022-10-10T06:32:32.06" personId="{7A8692D9-854D-46E0-85C6-5E293A59DFE2}" id="{347BEFE5-2DE7-4D4A-BE40-B30B6E52F099}">
    <text>Formal, informal, how they presented the results (total $, % health budget, % immunization budget). If they include these %, put them here</text>
  </threadedComment>
  <threadedComment ref="U88" dT="2022-10-28T11:46:09.01" personId="{7A8692D9-854D-46E0-85C6-5E293A59DFE2}" id="{7DBFE5A5-BDEB-40BA-91AB-0FB297AD3DB3}">
    <text>It was assumed that the price would decrease 3% per year</text>
  </threadedComment>
  <threadedComment ref="BO99" dT="2022-10-27T11:39:08.25" personId="{7A8692D9-854D-46E0-85C6-5E293A59DFE2}" id="{F205444B-76DB-4263-B5F2-5E606A0173EE}">
    <text>The undiscounted
annual cost of the vaccine programme is approximately
US$130 000 on average. Incorporating cost savings to the
government from averted outpatient visits and hospitalizations,
however, results in net savings of approximately
US$140 000 per year on average.</text>
  </threadedComment>
  <threadedComment ref="AD102" dT="2022-10-23T16:57:43.71" personId="{7A8692D9-854D-46E0-85C6-5E293A59DFE2}" id="{110A2627-D995-452B-A1EB-433BC7939373}">
    <text>See Figure 1</text>
  </threadedComment>
  <threadedComment ref="AM121" dT="2023-03-22T13:00:42.11" personId="{550C7F62-D212-4F60-B2A3-176F2E873CFF}" id="{1CEDFDD8-52EC-49A8-A475-BA68BB518479}">
    <text>Guess from the graph</text>
  </threadedComment>
  <threadedComment ref="AG156" dT="2022-10-23T17:35:17.60" personId="{7A8692D9-854D-46E0-85C6-5E293A59DFE2}" id="{45525DA3-CA03-45F4-A8DB-12CD9A8DB400}">
    <text>Only meningitis</text>
  </threadedComment>
  <threadedComment ref="AG157" dT="2022-10-23T17:35:17.60" personId="{7A8692D9-854D-46E0-85C6-5E293A59DFE2}" id="{B5FD9FA9-70B1-4CE2-8524-EFEB22E6F0C3}">
    <text>Only meningitis</text>
  </threadedComment>
  <threadedComment ref="AG158" dT="2022-10-23T17:35:17.60" personId="{7A8692D9-854D-46E0-85C6-5E293A59DFE2}" id="{401EC970-6E76-4A74-A4D9-E9AB0F37C8C7}">
    <text>Only meningitis</text>
  </threadedComment>
  <threadedComment ref="AG159" dT="2022-10-23T17:35:17.60" personId="{7A8692D9-854D-46E0-85C6-5E293A59DFE2}" id="{5EDA4237-1AA9-4941-A696-D68E03725ADB}">
    <text>Only meningitis</text>
  </threadedComment>
  <threadedComment ref="AG160" dT="2022-10-23T17:35:17.60" personId="{7A8692D9-854D-46E0-85C6-5E293A59DFE2}" id="{1F43909C-40AB-4717-9082-92740599568D}">
    <text>Only meningitis</text>
  </threadedComment>
  <threadedComment ref="AG161" dT="2022-10-23T17:35:17.60" personId="{7A8692D9-854D-46E0-85C6-5E293A59DFE2}" id="{02B46BAE-7DF0-40ED-B641-E6044FADCDF0}">
    <text>Only meningitis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3" dT="2023-03-23T01:53:46.92" personId="{5181B9F6-6976-6B44-8BA5-513C44B5406A}" id="{709E3AC0-5180-7C45-96AB-D8724DDA7592}">
    <text>@Edifofon Akpan can you provide source here?</text>
    <mentions>
      <mention mentionpersonId="{5DC5FA4F-4B92-6641-84B1-E04C91CC33E8}" mentionId="{26DBDEA0-75FE-C941-8879-C036497B7B30}" startIndex="0" length="15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072D-8116-4CE4-86E5-07702E7F4E65}">
  <sheetPr codeName="Sheet1"/>
  <dimension ref="A1:Q42"/>
  <sheetViews>
    <sheetView topLeftCell="B1" zoomScaleNormal="100" workbookViewId="0">
      <selection activeCell="B36" sqref="B36"/>
    </sheetView>
  </sheetViews>
  <sheetFormatPr baseColWidth="10" defaultColWidth="8.83203125" defaultRowHeight="13"/>
  <cols>
    <col min="1" max="1" width="8.33203125" style="40" bestFit="1" customWidth="1"/>
    <col min="2" max="2" width="15.83203125" style="9" bestFit="1" customWidth="1"/>
    <col min="3" max="3" width="12.33203125" style="53" bestFit="1" customWidth="1"/>
    <col min="4" max="4" width="62.83203125" style="9" customWidth="1"/>
    <col min="5" max="6" width="28.33203125" style="9" hidden="1" customWidth="1"/>
    <col min="7" max="7" width="30.1640625" style="9" bestFit="1" customWidth="1"/>
    <col min="8" max="8" width="3.1640625" style="9" customWidth="1"/>
    <col min="9" max="9" width="28.33203125" style="9" bestFit="1" customWidth="1"/>
    <col min="10" max="10" width="7.33203125" style="40" bestFit="1" customWidth="1"/>
    <col min="11" max="11" width="10.83203125" style="9" bestFit="1" customWidth="1"/>
    <col min="12" max="14" width="8.83203125" style="9"/>
    <col min="15" max="15" width="15.83203125" style="9" bestFit="1" customWidth="1"/>
    <col min="16" max="16" width="4.83203125" style="9" bestFit="1" customWidth="1"/>
    <col min="17" max="17" width="33.33203125" style="9" bestFit="1" customWidth="1"/>
    <col min="18" max="18" width="20.1640625" style="9" bestFit="1" customWidth="1"/>
    <col min="19" max="19" width="8.83203125" style="9"/>
    <col min="20" max="20" width="20.1640625" style="9" bestFit="1" customWidth="1"/>
    <col min="21" max="16384" width="8.83203125" style="9"/>
  </cols>
  <sheetData>
    <row r="1" spans="1:17">
      <c r="A1" s="36" t="s">
        <v>0</v>
      </c>
      <c r="B1" s="61" t="s">
        <v>1</v>
      </c>
      <c r="C1" s="62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/>
      <c r="J1" s="36"/>
    </row>
    <row r="2" spans="1:17">
      <c r="A2" s="40">
        <v>1</v>
      </c>
      <c r="B2" s="9" t="s">
        <v>7</v>
      </c>
      <c r="C2" s="53">
        <v>2011</v>
      </c>
      <c r="D2" s="9" t="s">
        <v>8</v>
      </c>
      <c r="E2" s="9" t="s">
        <v>9</v>
      </c>
      <c r="F2" s="9" t="s">
        <v>9</v>
      </c>
      <c r="G2" s="9" t="s">
        <v>9</v>
      </c>
      <c r="H2" s="61"/>
      <c r="I2" s="60" t="s">
        <v>10</v>
      </c>
      <c r="J2" s="36" t="s">
        <v>11</v>
      </c>
      <c r="Q2" s="70" t="s">
        <v>12</v>
      </c>
    </row>
    <row r="3" spans="1:17">
      <c r="A3" s="40">
        <v>2</v>
      </c>
      <c r="B3" s="9" t="s">
        <v>13</v>
      </c>
      <c r="C3" s="53">
        <v>2011</v>
      </c>
      <c r="D3" s="9" t="s">
        <v>14</v>
      </c>
      <c r="E3" s="9" t="s">
        <v>9</v>
      </c>
      <c r="F3" s="9" t="s">
        <v>9</v>
      </c>
      <c r="G3" s="9" t="s">
        <v>9</v>
      </c>
      <c r="H3" s="61"/>
      <c r="I3" s="14" t="s">
        <v>9</v>
      </c>
      <c r="J3" s="40">
        <f>COUNTIF($G$2:$G$36,I3)</f>
        <v>7</v>
      </c>
    </row>
    <row r="4" spans="1:17">
      <c r="A4" s="40">
        <v>3</v>
      </c>
      <c r="B4" s="9" t="s">
        <v>15</v>
      </c>
      <c r="C4" s="53">
        <v>2011</v>
      </c>
      <c r="D4" s="9" t="s">
        <v>16</v>
      </c>
      <c r="E4" s="9" t="s">
        <v>9</v>
      </c>
      <c r="F4" s="9" t="s">
        <v>9</v>
      </c>
      <c r="G4" s="9" t="s">
        <v>9</v>
      </c>
      <c r="H4" s="61"/>
      <c r="I4" s="14" t="s">
        <v>17</v>
      </c>
      <c r="J4" s="40">
        <f t="shared" ref="J4:J8" si="0">COUNTIF($G$2:$G$36,I4)</f>
        <v>6</v>
      </c>
    </row>
    <row r="5" spans="1:17">
      <c r="A5" s="40">
        <v>4</v>
      </c>
      <c r="B5" s="9" t="s">
        <v>18</v>
      </c>
      <c r="C5" s="53">
        <v>2011</v>
      </c>
      <c r="D5" s="9" t="s">
        <v>19</v>
      </c>
      <c r="E5" s="9" t="s">
        <v>9</v>
      </c>
      <c r="F5" s="9" t="s">
        <v>9</v>
      </c>
      <c r="G5" s="9" t="s">
        <v>9</v>
      </c>
      <c r="H5" s="61"/>
      <c r="I5" s="14" t="s">
        <v>20</v>
      </c>
      <c r="J5" s="40">
        <f t="shared" si="0"/>
        <v>4</v>
      </c>
    </row>
    <row r="6" spans="1:17">
      <c r="A6" s="40">
        <v>5</v>
      </c>
      <c r="B6" s="9" t="s">
        <v>21</v>
      </c>
      <c r="C6" s="53">
        <v>2013</v>
      </c>
      <c r="D6" s="9" t="s">
        <v>22</v>
      </c>
      <c r="E6" s="9" t="s">
        <v>9</v>
      </c>
      <c r="F6" s="9" t="s">
        <v>9</v>
      </c>
      <c r="G6" s="9" t="s">
        <v>9</v>
      </c>
      <c r="H6" s="61"/>
      <c r="I6" s="14" t="s">
        <v>23</v>
      </c>
      <c r="J6" s="40">
        <f t="shared" si="0"/>
        <v>2</v>
      </c>
    </row>
    <row r="7" spans="1:17">
      <c r="A7" s="40">
        <v>6</v>
      </c>
      <c r="B7" s="9" t="s">
        <v>24</v>
      </c>
      <c r="C7" s="53">
        <v>2014</v>
      </c>
      <c r="D7" s="9" t="s">
        <v>25</v>
      </c>
      <c r="E7" s="9" t="s">
        <v>9</v>
      </c>
      <c r="F7" s="9" t="s">
        <v>9</v>
      </c>
      <c r="G7" s="9" t="s">
        <v>9</v>
      </c>
      <c r="H7" s="61"/>
      <c r="I7" s="14" t="s">
        <v>26</v>
      </c>
      <c r="J7" s="40">
        <f t="shared" si="0"/>
        <v>3</v>
      </c>
    </row>
    <row r="8" spans="1:17">
      <c r="A8" s="40">
        <v>7</v>
      </c>
      <c r="B8" s="9" t="s">
        <v>27</v>
      </c>
      <c r="C8" s="53">
        <v>2017</v>
      </c>
      <c r="D8" s="9" t="s">
        <v>28</v>
      </c>
      <c r="E8" s="9" t="s">
        <v>9</v>
      </c>
      <c r="F8" s="9" t="s">
        <v>9</v>
      </c>
      <c r="G8" s="9" t="s">
        <v>9</v>
      </c>
      <c r="H8" s="61"/>
      <c r="I8" s="14" t="s">
        <v>29</v>
      </c>
      <c r="J8" s="40">
        <f t="shared" si="0"/>
        <v>1</v>
      </c>
    </row>
    <row r="9" spans="1:17">
      <c r="A9" s="40">
        <v>8</v>
      </c>
      <c r="B9" s="9" t="s">
        <v>30</v>
      </c>
      <c r="C9" s="53">
        <v>2010</v>
      </c>
      <c r="D9" s="9" t="s">
        <v>31</v>
      </c>
      <c r="E9" s="9" t="s">
        <v>17</v>
      </c>
      <c r="F9" s="9" t="s">
        <v>17</v>
      </c>
      <c r="G9" s="9" t="s">
        <v>17</v>
      </c>
      <c r="H9" s="61"/>
      <c r="I9" s="14" t="s">
        <v>32</v>
      </c>
      <c r="J9" s="40">
        <v>55</v>
      </c>
    </row>
    <row r="10" spans="1:17">
      <c r="A10" s="40">
        <v>9</v>
      </c>
      <c r="B10" s="9" t="s">
        <v>33</v>
      </c>
      <c r="C10" s="53">
        <v>2014</v>
      </c>
      <c r="D10" s="9" t="s">
        <v>34</v>
      </c>
      <c r="E10" s="9" t="s">
        <v>17</v>
      </c>
      <c r="F10" s="9" t="s">
        <v>17</v>
      </c>
      <c r="G10" s="9" t="s">
        <v>17</v>
      </c>
      <c r="H10" s="61"/>
      <c r="J10" s="36">
        <f>SUM(J3:J9)</f>
        <v>78</v>
      </c>
    </row>
    <row r="11" spans="1:17">
      <c r="A11" s="40">
        <v>10</v>
      </c>
      <c r="B11" s="9" t="s">
        <v>13</v>
      </c>
      <c r="C11" s="53">
        <v>2014</v>
      </c>
      <c r="D11" s="9" t="s">
        <v>35</v>
      </c>
      <c r="E11" s="9" t="s">
        <v>17</v>
      </c>
      <c r="F11" s="9" t="s">
        <v>17</v>
      </c>
      <c r="G11" s="9" t="s">
        <v>17</v>
      </c>
      <c r="H11" s="61"/>
      <c r="J11" s="36"/>
    </row>
    <row r="12" spans="1:17">
      <c r="A12" s="40">
        <v>11</v>
      </c>
      <c r="B12" s="9" t="s">
        <v>36</v>
      </c>
      <c r="C12" s="53">
        <v>2018</v>
      </c>
      <c r="D12" s="9" t="s">
        <v>37</v>
      </c>
      <c r="E12" s="9" t="s">
        <v>17</v>
      </c>
      <c r="F12" s="9" t="s">
        <v>17</v>
      </c>
      <c r="G12" s="9" t="s">
        <v>17</v>
      </c>
      <c r="H12" s="61"/>
      <c r="J12" s="36"/>
    </row>
    <row r="13" spans="1:17">
      <c r="A13" s="40">
        <v>12</v>
      </c>
      <c r="B13" s="9" t="s">
        <v>38</v>
      </c>
      <c r="C13" s="53">
        <v>2021</v>
      </c>
      <c r="D13" s="9" t="s">
        <v>39</v>
      </c>
      <c r="E13" s="9" t="s">
        <v>17</v>
      </c>
      <c r="F13" s="9" t="s">
        <v>17</v>
      </c>
      <c r="G13" s="9" t="s">
        <v>17</v>
      </c>
      <c r="H13" s="61"/>
      <c r="J13" s="36"/>
    </row>
    <row r="14" spans="1:17">
      <c r="A14" s="40">
        <v>14</v>
      </c>
      <c r="B14" s="9" t="s">
        <v>40</v>
      </c>
      <c r="C14" s="53">
        <v>2007</v>
      </c>
      <c r="D14" s="9" t="s">
        <v>41</v>
      </c>
      <c r="E14" s="9" t="s">
        <v>20</v>
      </c>
      <c r="G14" s="9" t="s">
        <v>20</v>
      </c>
      <c r="H14" s="61"/>
      <c r="J14" s="36"/>
    </row>
    <row r="15" spans="1:17">
      <c r="A15" s="40">
        <v>15</v>
      </c>
      <c r="B15" s="9" t="s">
        <v>42</v>
      </c>
      <c r="C15" s="53">
        <v>2011</v>
      </c>
      <c r="D15" s="9" t="s">
        <v>43</v>
      </c>
      <c r="E15" s="9" t="s">
        <v>20</v>
      </c>
      <c r="F15" s="9" t="s">
        <v>20</v>
      </c>
      <c r="G15" s="9" t="s">
        <v>20</v>
      </c>
      <c r="H15" s="61"/>
      <c r="J15" s="36"/>
    </row>
    <row r="16" spans="1:17">
      <c r="A16" s="40">
        <v>16</v>
      </c>
      <c r="B16" s="9" t="s">
        <v>44</v>
      </c>
      <c r="C16" s="53">
        <v>2011</v>
      </c>
      <c r="D16" s="9" t="s">
        <v>45</v>
      </c>
      <c r="E16" s="9" t="s">
        <v>20</v>
      </c>
      <c r="F16" s="9" t="s">
        <v>20</v>
      </c>
      <c r="G16" s="9" t="s">
        <v>20</v>
      </c>
      <c r="H16" s="61"/>
      <c r="J16" s="36"/>
    </row>
    <row r="17" spans="1:10">
      <c r="A17" s="40">
        <v>17</v>
      </c>
      <c r="B17" s="9" t="s">
        <v>46</v>
      </c>
      <c r="C17" s="53">
        <v>2019</v>
      </c>
      <c r="D17" s="9" t="s">
        <v>47</v>
      </c>
      <c r="E17" s="9" t="s">
        <v>20</v>
      </c>
      <c r="F17" s="9" t="s">
        <v>20</v>
      </c>
      <c r="G17" s="9" t="s">
        <v>20</v>
      </c>
      <c r="H17" s="61"/>
      <c r="J17" s="36"/>
    </row>
    <row r="18" spans="1:10">
      <c r="A18" s="40">
        <v>18</v>
      </c>
      <c r="B18" s="9" t="s">
        <v>33</v>
      </c>
      <c r="C18" s="53">
        <v>2014</v>
      </c>
      <c r="D18" s="9" t="s">
        <v>48</v>
      </c>
      <c r="E18" s="9" t="s">
        <v>23</v>
      </c>
      <c r="F18" s="9" t="s">
        <v>23</v>
      </c>
      <c r="G18" s="9" t="s">
        <v>23</v>
      </c>
      <c r="H18" s="61"/>
      <c r="J18" s="36"/>
    </row>
    <row r="19" spans="1:10">
      <c r="A19" s="40">
        <v>21</v>
      </c>
      <c r="B19" s="9" t="s">
        <v>49</v>
      </c>
      <c r="C19" s="53">
        <v>2016</v>
      </c>
      <c r="D19" s="9" t="s">
        <v>50</v>
      </c>
      <c r="E19" s="9" t="s">
        <v>23</v>
      </c>
      <c r="F19" s="9" t="s">
        <v>23</v>
      </c>
      <c r="G19" s="9" t="s">
        <v>23</v>
      </c>
      <c r="H19" s="61"/>
      <c r="J19" s="36"/>
    </row>
    <row r="20" spans="1:10">
      <c r="A20" s="40">
        <v>19</v>
      </c>
      <c r="B20" s="9" t="s">
        <v>51</v>
      </c>
      <c r="C20" s="53">
        <v>2015</v>
      </c>
      <c r="D20" s="9" t="s">
        <v>52</v>
      </c>
      <c r="E20" s="9" t="s">
        <v>53</v>
      </c>
      <c r="F20" s="9" t="s">
        <v>26</v>
      </c>
      <c r="G20" s="9" t="s">
        <v>26</v>
      </c>
      <c r="H20" s="61"/>
      <c r="J20" s="36"/>
    </row>
    <row r="21" spans="1:10">
      <c r="A21" s="40">
        <v>20</v>
      </c>
      <c r="B21" s="9" t="s">
        <v>54</v>
      </c>
      <c r="C21" s="53">
        <v>2015</v>
      </c>
      <c r="D21" s="9" t="s">
        <v>55</v>
      </c>
      <c r="E21" s="9" t="s">
        <v>53</v>
      </c>
      <c r="F21" s="9" t="s">
        <v>26</v>
      </c>
      <c r="G21" s="9" t="s">
        <v>26</v>
      </c>
      <c r="H21" s="61"/>
      <c r="J21" s="36"/>
    </row>
    <row r="22" spans="1:10">
      <c r="A22" s="40">
        <v>35</v>
      </c>
      <c r="B22" s="9" t="s">
        <v>56</v>
      </c>
      <c r="C22" s="53">
        <v>2014</v>
      </c>
      <c r="D22" s="9" t="s">
        <v>57</v>
      </c>
      <c r="E22" s="9" t="s">
        <v>26</v>
      </c>
      <c r="G22" s="9" t="s">
        <v>26</v>
      </c>
      <c r="H22" s="61"/>
      <c r="J22" s="36"/>
    </row>
    <row r="23" spans="1:10">
      <c r="A23" s="40">
        <v>22</v>
      </c>
      <c r="B23" s="9" t="s">
        <v>58</v>
      </c>
      <c r="C23" s="53">
        <v>2011</v>
      </c>
      <c r="D23" s="9" t="s">
        <v>59</v>
      </c>
      <c r="E23" s="9" t="s">
        <v>29</v>
      </c>
      <c r="F23" s="9" t="s">
        <v>29</v>
      </c>
      <c r="G23" s="9" t="s">
        <v>29</v>
      </c>
      <c r="H23" s="61"/>
      <c r="J23" s="36"/>
    </row>
    <row r="24" spans="1:10">
      <c r="A24" s="40">
        <v>13</v>
      </c>
      <c r="B24" s="9" t="s">
        <v>60</v>
      </c>
      <c r="C24" s="53">
        <v>2021</v>
      </c>
      <c r="D24" s="9" t="s">
        <v>61</v>
      </c>
      <c r="E24" s="9" t="s">
        <v>62</v>
      </c>
      <c r="F24" s="9" t="s">
        <v>32</v>
      </c>
      <c r="G24" s="9" t="s">
        <v>17</v>
      </c>
      <c r="H24" s="61"/>
      <c r="J24" s="36"/>
    </row>
    <row r="25" spans="1:10">
      <c r="A25" s="40">
        <v>23</v>
      </c>
      <c r="B25" s="9" t="s">
        <v>58</v>
      </c>
      <c r="C25" s="53">
        <v>2010</v>
      </c>
      <c r="D25" s="9" t="s">
        <v>63</v>
      </c>
      <c r="E25" s="9" t="s">
        <v>32</v>
      </c>
      <c r="F25" s="9" t="s">
        <v>32</v>
      </c>
      <c r="G25" s="9" t="s">
        <v>32</v>
      </c>
      <c r="H25" s="61"/>
      <c r="J25" s="36"/>
    </row>
    <row r="26" spans="1:10">
      <c r="A26" s="40">
        <v>24</v>
      </c>
      <c r="B26" s="9" t="s">
        <v>64</v>
      </c>
      <c r="C26" s="53">
        <v>2010</v>
      </c>
      <c r="D26" s="9" t="s">
        <v>65</v>
      </c>
      <c r="E26" s="9" t="s">
        <v>32</v>
      </c>
      <c r="F26" s="9" t="s">
        <v>32</v>
      </c>
      <c r="G26" s="9" t="s">
        <v>32</v>
      </c>
      <c r="H26" s="61"/>
      <c r="J26" s="36"/>
    </row>
    <row r="27" spans="1:10">
      <c r="A27" s="40">
        <v>25</v>
      </c>
      <c r="B27" s="9" t="s">
        <v>66</v>
      </c>
      <c r="C27" s="53">
        <v>2015</v>
      </c>
      <c r="D27" s="9" t="s">
        <v>67</v>
      </c>
      <c r="E27" s="9" t="s">
        <v>68</v>
      </c>
      <c r="F27" s="9" t="s">
        <v>32</v>
      </c>
      <c r="G27" s="9" t="s">
        <v>32</v>
      </c>
      <c r="H27" s="61"/>
      <c r="J27" s="36"/>
    </row>
    <row r="28" spans="1:10">
      <c r="A28" s="40">
        <v>26</v>
      </c>
      <c r="B28" s="9" t="s">
        <v>69</v>
      </c>
      <c r="C28" s="53">
        <v>2018</v>
      </c>
      <c r="D28" s="9" t="s">
        <v>70</v>
      </c>
      <c r="E28" s="9" t="s">
        <v>32</v>
      </c>
      <c r="F28" s="9" t="s">
        <v>32</v>
      </c>
      <c r="G28" s="9" t="s">
        <v>32</v>
      </c>
      <c r="H28" s="61"/>
      <c r="J28" s="36"/>
    </row>
    <row r="29" spans="1:10">
      <c r="A29" s="40">
        <v>27</v>
      </c>
      <c r="B29" s="9" t="s">
        <v>71</v>
      </c>
      <c r="C29" s="53">
        <v>2019</v>
      </c>
      <c r="D29" s="9" t="s">
        <v>72</v>
      </c>
      <c r="E29" s="9" t="s">
        <v>32</v>
      </c>
      <c r="F29" s="9" t="s">
        <v>32</v>
      </c>
      <c r="G29" s="9" t="s">
        <v>32</v>
      </c>
      <c r="H29" s="61"/>
      <c r="J29" s="36"/>
    </row>
    <row r="30" spans="1:10">
      <c r="A30" s="40">
        <v>28</v>
      </c>
      <c r="B30" s="9" t="s">
        <v>73</v>
      </c>
      <c r="C30" s="53">
        <v>2019</v>
      </c>
      <c r="D30" s="9" t="s">
        <v>74</v>
      </c>
      <c r="E30" s="9" t="s">
        <v>32</v>
      </c>
      <c r="F30" s="9" t="s">
        <v>32</v>
      </c>
      <c r="G30" s="9" t="s">
        <v>32</v>
      </c>
      <c r="H30" s="61"/>
      <c r="J30" s="36"/>
    </row>
    <row r="31" spans="1:10">
      <c r="A31" s="40">
        <v>29</v>
      </c>
      <c r="B31" s="9" t="s">
        <v>73</v>
      </c>
      <c r="C31" s="53">
        <v>2020</v>
      </c>
      <c r="D31" s="9" t="s">
        <v>75</v>
      </c>
      <c r="E31" s="9" t="s">
        <v>32</v>
      </c>
      <c r="F31" s="9" t="s">
        <v>32</v>
      </c>
      <c r="G31" s="9" t="s">
        <v>32</v>
      </c>
      <c r="H31" s="61"/>
      <c r="J31" s="36"/>
    </row>
    <row r="32" spans="1:10">
      <c r="A32" s="40">
        <v>30</v>
      </c>
      <c r="B32" s="9" t="s">
        <v>76</v>
      </c>
      <c r="C32" s="53">
        <v>2021</v>
      </c>
      <c r="D32" s="9" t="s">
        <v>77</v>
      </c>
      <c r="E32" s="9" t="s">
        <v>32</v>
      </c>
      <c r="F32" s="9" t="s">
        <v>32</v>
      </c>
      <c r="G32" s="9" t="s">
        <v>32</v>
      </c>
      <c r="H32" s="61"/>
      <c r="J32" s="36"/>
    </row>
    <row r="33" spans="1:10">
      <c r="A33" s="40">
        <v>31</v>
      </c>
      <c r="B33" s="9" t="s">
        <v>78</v>
      </c>
      <c r="C33" s="53">
        <v>2021</v>
      </c>
      <c r="D33" s="9" t="s">
        <v>79</v>
      </c>
      <c r="E33" s="9" t="s">
        <v>32</v>
      </c>
      <c r="F33" s="9" t="s">
        <v>32</v>
      </c>
      <c r="G33" s="9" t="s">
        <v>32</v>
      </c>
      <c r="H33" s="61"/>
      <c r="J33" s="36"/>
    </row>
    <row r="34" spans="1:10">
      <c r="A34" s="40">
        <v>32</v>
      </c>
      <c r="B34" s="9" t="s">
        <v>78</v>
      </c>
      <c r="C34" s="53">
        <v>2021</v>
      </c>
      <c r="D34" s="9" t="s">
        <v>80</v>
      </c>
      <c r="E34" s="9" t="s">
        <v>32</v>
      </c>
      <c r="F34" s="9" t="s">
        <v>32</v>
      </c>
      <c r="G34" s="9" t="s">
        <v>32</v>
      </c>
      <c r="H34" s="61"/>
      <c r="J34" s="36"/>
    </row>
    <row r="35" spans="1:10">
      <c r="A35" s="40">
        <v>33</v>
      </c>
      <c r="B35" s="9" t="s">
        <v>81</v>
      </c>
      <c r="C35" s="53">
        <v>2021</v>
      </c>
      <c r="D35" s="9" t="s">
        <v>82</v>
      </c>
      <c r="E35" s="9" t="s">
        <v>32</v>
      </c>
      <c r="F35" s="9" t="s">
        <v>32</v>
      </c>
      <c r="G35" s="9" t="s">
        <v>32</v>
      </c>
      <c r="H35" s="61"/>
      <c r="J35" s="36"/>
    </row>
    <row r="36" spans="1:10">
      <c r="A36" s="40">
        <v>34</v>
      </c>
      <c r="B36" s="9" t="s">
        <v>83</v>
      </c>
      <c r="C36" s="53">
        <v>2021</v>
      </c>
      <c r="D36" s="9" t="s">
        <v>84</v>
      </c>
      <c r="E36" s="9" t="s">
        <v>32</v>
      </c>
      <c r="F36" s="9" t="s">
        <v>32</v>
      </c>
      <c r="G36" s="9" t="s">
        <v>32</v>
      </c>
      <c r="H36" s="61"/>
      <c r="J36" s="36"/>
    </row>
    <row r="37" spans="1:10">
      <c r="H37" s="61"/>
      <c r="J37" s="36"/>
    </row>
    <row r="38" spans="1:10">
      <c r="H38" s="61"/>
      <c r="J38" s="36"/>
    </row>
    <row r="39" spans="1:10">
      <c r="H39" s="61"/>
      <c r="J39" s="36"/>
    </row>
    <row r="40" spans="1:10">
      <c r="H40" s="61"/>
      <c r="J40" s="36"/>
    </row>
    <row r="41" spans="1:10">
      <c r="H41" s="61"/>
      <c r="J41" s="36"/>
    </row>
    <row r="42" spans="1:10" ht="12.75" customHeight="1">
      <c r="H42" s="61"/>
    </row>
  </sheetData>
  <autoFilter ref="A1:G36" xr:uid="{AD6C072D-8116-4CE4-86E5-07702E7F4E65}"/>
  <dataValidations count="1">
    <dataValidation type="list" allowBlank="1" showInputMessage="1" showErrorMessage="1" sqref="E15:E19 E27:E36 E2:E13 E22:E25 F2:G36" xr:uid="{05C13369-5B44-4758-BB7C-6FD012C9BD7A}">
      <formula1>$I$3:$I$9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B12F5-8E0D-0045-A587-D04E16F26C8F}">
  <sheetPr codeName="Sheet17"/>
  <dimension ref="A1:BF197"/>
  <sheetViews>
    <sheetView tabSelected="1" topLeftCell="X1" zoomScale="190" zoomScaleNormal="190" workbookViewId="0">
      <pane ySplit="1" topLeftCell="A185" activePane="bottomLeft" state="frozen"/>
      <selection pane="bottomLeft" activeCell="AF193" sqref="A1:BF197"/>
    </sheetView>
  </sheetViews>
  <sheetFormatPr baseColWidth="10" defaultColWidth="9.1640625" defaultRowHeight="14"/>
  <cols>
    <col min="1" max="1" width="6.33203125" style="163" bestFit="1" customWidth="1"/>
    <col min="2" max="2" width="5" style="163" bestFit="1" customWidth="1"/>
    <col min="3" max="3" width="7" style="163" bestFit="1" customWidth="1"/>
    <col min="4" max="4" width="13.33203125" style="159" bestFit="1" customWidth="1"/>
    <col min="5" max="5" width="6.6640625" style="163" bestFit="1" customWidth="1"/>
    <col min="6" max="6" width="43.6640625" style="162" bestFit="1" customWidth="1"/>
    <col min="7" max="7" width="12" style="162" bestFit="1" customWidth="1"/>
    <col min="8" max="8" width="6" style="163" bestFit="1" customWidth="1"/>
    <col min="9" max="9" width="10.33203125" style="163" bestFit="1" customWidth="1"/>
    <col min="10" max="10" width="9.1640625" style="162" bestFit="1" customWidth="1"/>
    <col min="11" max="11" width="8.83203125" style="162" bestFit="1" customWidth="1"/>
    <col min="12" max="12" width="11.83203125" style="162" bestFit="1" customWidth="1"/>
    <col min="13" max="13" width="10.5" style="162" bestFit="1" customWidth="1"/>
    <col min="14" max="14" width="8" style="163" bestFit="1" customWidth="1"/>
    <col min="15" max="15" width="12.1640625" style="159" bestFit="1" customWidth="1"/>
    <col min="16" max="16" width="12" style="159" bestFit="1" customWidth="1"/>
    <col min="17" max="17" width="12.5" style="159" bestFit="1" customWidth="1"/>
    <col min="18" max="18" width="7.5" style="163" bestFit="1" customWidth="1"/>
    <col min="19" max="19" width="10" style="163" bestFit="1" customWidth="1"/>
    <col min="20" max="20" width="9.83203125" style="163" bestFit="1" customWidth="1"/>
    <col min="21" max="21" width="11.33203125" style="163" bestFit="1" customWidth="1"/>
    <col min="22" max="22" width="11.1640625" style="163" bestFit="1" customWidth="1"/>
    <col min="23" max="23" width="9" style="163" bestFit="1" customWidth="1"/>
    <col min="24" max="24" width="9.6640625" style="163" bestFit="1" customWidth="1"/>
    <col min="25" max="25" width="11.1640625" style="163" bestFit="1" customWidth="1"/>
    <col min="26" max="26" width="8.83203125" style="163" bestFit="1" customWidth="1"/>
    <col min="27" max="27" width="10.1640625" style="163" bestFit="1" customWidth="1"/>
    <col min="28" max="28" width="9.83203125" style="163" bestFit="1" customWidth="1"/>
    <col min="29" max="30" width="7.5" style="196" bestFit="1" customWidth="1"/>
    <col min="31" max="31" width="13.6640625" style="196" bestFit="1" customWidth="1"/>
    <col min="32" max="32" width="5.33203125" style="196" bestFit="1" customWidth="1"/>
    <col min="33" max="33" width="12.1640625" style="159" bestFit="1" customWidth="1"/>
    <col min="34" max="34" width="11.83203125" style="159" bestFit="1" customWidth="1"/>
    <col min="35" max="36" width="8" style="163" bestFit="1" customWidth="1"/>
    <col min="37" max="37" width="11.83203125" style="187" bestFit="1" customWidth="1"/>
    <col min="38" max="38" width="8" style="163" bestFit="1" customWidth="1"/>
    <col min="39" max="39" width="11.83203125" style="188" bestFit="1" customWidth="1"/>
    <col min="40" max="40" width="8" style="163" bestFit="1" customWidth="1"/>
    <col min="41" max="41" width="11.83203125" style="159" bestFit="1" customWidth="1"/>
    <col min="42" max="42" width="8" style="163" bestFit="1" customWidth="1"/>
    <col min="43" max="43" width="11.83203125" style="159" bestFit="1" customWidth="1"/>
    <col min="44" max="44" width="8" style="163" bestFit="1" customWidth="1"/>
    <col min="45" max="45" width="12.83203125" style="159" bestFit="1" customWidth="1"/>
    <col min="46" max="46" width="8" style="163" bestFit="1" customWidth="1"/>
    <col min="47" max="47" width="12.5" style="159" bestFit="1" customWidth="1"/>
    <col min="48" max="48" width="12" style="162" bestFit="1" customWidth="1"/>
    <col min="49" max="49" width="11.83203125" style="162" bestFit="1" customWidth="1"/>
    <col min="50" max="50" width="7.5" style="189" bestFit="1" customWidth="1"/>
    <col min="51" max="51" width="7.33203125" style="189" bestFit="1" customWidth="1"/>
    <col min="52" max="52" width="7.83203125" style="163" bestFit="1" customWidth="1"/>
    <col min="53" max="53" width="7.6640625" style="163" bestFit="1" customWidth="1"/>
    <col min="54" max="54" width="7.5" style="163" bestFit="1" customWidth="1"/>
    <col min="55" max="55" width="7.33203125" style="163" bestFit="1" customWidth="1"/>
    <col min="56" max="56" width="7.1640625" style="163" bestFit="1" customWidth="1"/>
    <col min="57" max="57" width="10.33203125" style="163" bestFit="1" customWidth="1"/>
    <col min="58" max="58" width="9" style="162" bestFit="1" customWidth="1"/>
    <col min="59" max="16384" width="9.1640625" style="162"/>
  </cols>
  <sheetData>
    <row r="1" spans="1:58" s="156" customFormat="1" ht="13">
      <c r="A1" s="157" t="s">
        <v>85</v>
      </c>
      <c r="B1" s="157" t="s">
        <v>86</v>
      </c>
      <c r="C1" s="157" t="s">
        <v>87</v>
      </c>
      <c r="D1" s="155" t="s">
        <v>88</v>
      </c>
      <c r="E1" s="157" t="s">
        <v>89</v>
      </c>
      <c r="F1" s="156" t="s">
        <v>90</v>
      </c>
      <c r="G1" s="156" t="s">
        <v>91</v>
      </c>
      <c r="H1" s="157" t="s">
        <v>92</v>
      </c>
      <c r="I1" s="157" t="s">
        <v>93</v>
      </c>
      <c r="J1" s="156" t="s">
        <v>95</v>
      </c>
      <c r="K1" s="156" t="s">
        <v>96</v>
      </c>
      <c r="L1" s="156" t="s">
        <v>1921</v>
      </c>
      <c r="M1" s="156" t="s">
        <v>98</v>
      </c>
      <c r="N1" s="157" t="s">
        <v>99</v>
      </c>
      <c r="O1" s="156" t="s">
        <v>100</v>
      </c>
      <c r="P1" s="156" t="s">
        <v>101</v>
      </c>
      <c r="Q1" s="156" t="s">
        <v>102</v>
      </c>
      <c r="R1" s="157" t="s">
        <v>1980</v>
      </c>
      <c r="S1" s="157" t="s">
        <v>1981</v>
      </c>
      <c r="T1" s="157" t="s">
        <v>1982</v>
      </c>
      <c r="U1" s="157" t="s">
        <v>1983</v>
      </c>
      <c r="V1" s="157" t="s">
        <v>1984</v>
      </c>
      <c r="W1" s="157" t="s">
        <v>110</v>
      </c>
      <c r="X1" s="157" t="s">
        <v>113</v>
      </c>
      <c r="Y1" s="157" t="s">
        <v>1985</v>
      </c>
      <c r="Z1" s="157" t="s">
        <v>116</v>
      </c>
      <c r="AA1" s="157" t="s">
        <v>117</v>
      </c>
      <c r="AB1" s="157" t="s">
        <v>121</v>
      </c>
      <c r="AC1" s="195" t="s">
        <v>1986</v>
      </c>
      <c r="AD1" s="195" t="s">
        <v>123</v>
      </c>
      <c r="AE1" s="195" t="s">
        <v>2016</v>
      </c>
      <c r="AF1" s="195" t="s">
        <v>1000</v>
      </c>
      <c r="AG1" s="155" t="s">
        <v>1987</v>
      </c>
      <c r="AH1" s="155" t="s">
        <v>1988</v>
      </c>
      <c r="AI1" s="158" t="s">
        <v>1989</v>
      </c>
      <c r="AJ1" s="158" t="s">
        <v>1990</v>
      </c>
      <c r="AK1" s="155" t="s">
        <v>1991</v>
      </c>
      <c r="AL1" s="158" t="s">
        <v>1992</v>
      </c>
      <c r="AM1" s="156" t="s">
        <v>1996</v>
      </c>
      <c r="AN1" s="158" t="s">
        <v>1997</v>
      </c>
      <c r="AO1" s="155" t="s">
        <v>1999</v>
      </c>
      <c r="AP1" s="158" t="s">
        <v>1998</v>
      </c>
      <c r="AQ1" s="155" t="s">
        <v>2000</v>
      </c>
      <c r="AR1" s="158" t="s">
        <v>2001</v>
      </c>
      <c r="AS1" s="155" t="s">
        <v>2002</v>
      </c>
      <c r="AT1" s="158" t="s">
        <v>2003</v>
      </c>
      <c r="AU1" s="155" t="s">
        <v>2004</v>
      </c>
      <c r="AV1" s="156" t="s">
        <v>135</v>
      </c>
      <c r="AW1" s="156" t="s">
        <v>2005</v>
      </c>
      <c r="AX1" s="157" t="s">
        <v>2007</v>
      </c>
      <c r="AY1" s="157" t="s">
        <v>2006</v>
      </c>
      <c r="AZ1" s="157" t="s">
        <v>2009</v>
      </c>
      <c r="BA1" s="157" t="s">
        <v>2008</v>
      </c>
      <c r="BB1" s="157" t="s">
        <v>2010</v>
      </c>
      <c r="BC1" s="157" t="s">
        <v>2011</v>
      </c>
      <c r="BD1" s="157" t="s">
        <v>2012</v>
      </c>
      <c r="BE1" s="157" t="s">
        <v>142</v>
      </c>
      <c r="BF1" s="156" t="s">
        <v>1424</v>
      </c>
    </row>
    <row r="2" spans="1:58">
      <c r="A2" s="159">
        <v>1</v>
      </c>
      <c r="B2" s="159">
        <v>1</v>
      </c>
      <c r="C2" s="190" t="str">
        <f t="shared" ref="C2:C65" si="0">_xlfn.CONCAT(TEXT(A2,"00"),TEXT(B2,"00"))</f>
        <v>0101</v>
      </c>
      <c r="D2" s="159" t="s">
        <v>145</v>
      </c>
      <c r="E2" s="192">
        <v>2014</v>
      </c>
      <c r="F2" s="162" t="s">
        <v>1922</v>
      </c>
      <c r="G2" s="162" t="s">
        <v>147</v>
      </c>
      <c r="H2" s="163" t="str">
        <f t="shared" ref="H2:H33" si="1">VLOOKUP(G2,income,R2-1985,FALSE)</f>
        <v>UM</v>
      </c>
      <c r="I2" s="163" t="s">
        <v>148</v>
      </c>
      <c r="J2" s="162" t="s">
        <v>150</v>
      </c>
      <c r="K2" s="162" t="s">
        <v>151</v>
      </c>
      <c r="L2" s="162" t="s">
        <v>149</v>
      </c>
      <c r="M2" s="162" t="s">
        <v>2013</v>
      </c>
      <c r="N2" s="163" t="s">
        <v>148</v>
      </c>
      <c r="O2" s="164" t="s">
        <v>153</v>
      </c>
      <c r="P2" s="162" t="s">
        <v>154</v>
      </c>
      <c r="Q2" s="162" t="s">
        <v>155</v>
      </c>
      <c r="R2" s="192">
        <v>2011</v>
      </c>
      <c r="S2" s="194">
        <v>127</v>
      </c>
      <c r="T2" s="194">
        <f>IF(ISNUMBER(S2),S2/VLOOKUP($Q2,xRates!$A$1:$AA$267,studies!$R2-xRates!$B$1+2,FALSE),S2)</f>
        <v>127</v>
      </c>
      <c r="V2" s="194"/>
      <c r="W2" s="163" t="s">
        <v>157</v>
      </c>
      <c r="X2" s="163" t="s">
        <v>157</v>
      </c>
      <c r="Y2" s="163" t="s">
        <v>148</v>
      </c>
      <c r="Z2" s="163" t="s">
        <v>148</v>
      </c>
      <c r="AA2" s="163" t="s">
        <v>148</v>
      </c>
      <c r="AB2" s="163" t="s">
        <v>159</v>
      </c>
      <c r="AC2" s="192">
        <v>530354</v>
      </c>
      <c r="AD2" s="192">
        <v>530354</v>
      </c>
      <c r="AE2" s="192" t="str">
        <f>IF(AD2&lt;0, "Yes", "No")</f>
        <v>No</v>
      </c>
      <c r="AF2" s="192">
        <f t="shared" ref="AF2:AF33" si="2">VLOOKUP(G2,gdppc,R2-1958,FALSE)</f>
        <v>5614.3521350000001</v>
      </c>
      <c r="AG2" s="159" t="str">
        <f>IF(AD2="NA", ".", IF(AD2&lt;0,"Cost-saving",IF(AD2&lt;=AF2,"Cost-effective",IF(AD2&gt;AF2&amp;AD2&lt;&gt;"NA","Not cost-effective","Missing"))))</f>
        <v>Not cost-effective</v>
      </c>
      <c r="AH2" s="159" t="str">
        <f>IF(AD2="NA", ".", IF(AD2&lt;0,"Cost-saving",IF(AD2&lt;=AF2*3,"Cost-effective",IF(AD2&gt;AF2*3&amp;AD2&lt;&gt;"NA","Not cost-effective","Missing"))))</f>
        <v>Not cost-effective</v>
      </c>
      <c r="AI2" s="198">
        <f>IFERROR(AD2/AF2,"")</f>
        <v>94.463971487246226</v>
      </c>
      <c r="AJ2" s="198">
        <f t="shared" ref="AJ2:AJ33" si="3">IFERROR(VLOOKUP(G2,ochalek,11,FALSE),"")</f>
        <v>0.71</v>
      </c>
      <c r="AK2" s="159" t="str">
        <f>IF(AI2&lt;0,"Cost-saving", IF(AJ2=".", ".", IF(AI2&lt;AJ2, "Cost-effective", "Not cost-effective")))</f>
        <v>Not cost-effective</v>
      </c>
      <c r="AL2" s="198">
        <f t="shared" ref="AL2:AL33" si="4">IFERROR(VLOOKUP(G2,ochalek,10,FALSE),"")</f>
        <v>0.45</v>
      </c>
      <c r="AM2" s="162" t="str">
        <f>IF(AI2&lt;0,"Cost-saving", IF(AL2=".", ".", IF(AI2&lt;AL2, "Cost-effective", "Not cost-effective")))</f>
        <v>Not cost-effective</v>
      </c>
      <c r="AN2" s="198">
        <f t="shared" ref="AN2:AN33" si="5">IFERROR(VLOOKUP(G2,woods,6,FALSE),"")</f>
        <v>0.6481168977852142</v>
      </c>
      <c r="AO2" s="159" t="str">
        <f>IF(AI2&lt;0,"Cost-saving", IF(AN2=".", ".", IF(AI2&lt;AN2, "Cost-effective", "Not cost-effective")))</f>
        <v>Not cost-effective</v>
      </c>
      <c r="AP2" s="198">
        <f t="shared" ref="AP2:AP33" si="6">IFERROR(VLOOKUP(G2,woods,5,FALSE),"")</f>
        <v>0.16395220864852342</v>
      </c>
      <c r="AQ2" s="159" t="str">
        <f>IF(AI2&lt;0,"Cost-saving", IF(AP2=".", ".", IF(AI2&lt;AP2, "Cost-effective", "Not cost-effective")))</f>
        <v>Not cost-effective</v>
      </c>
      <c r="AR2" s="198">
        <f t="shared" ref="AR2:AR33" si="7">IFERROR(VLOOKUP(G2,riviere,8,FALSE),"")</f>
        <v>0.90271550536772804</v>
      </c>
      <c r="AS2" s="159" t="str">
        <f>IF(AI2&lt;0,"Cost-saving", IF(AR2=".", ".", IF(AI2&lt;AR2, "Cost-effective", "Not cost-effective")))</f>
        <v>Not cost-effective</v>
      </c>
      <c r="AT2" s="198">
        <f t="shared" ref="AT2:AT33" si="8">IFERROR(VLOOKUP(G2,riviere,7,FALSE),"")</f>
        <v>0.37411874444365267</v>
      </c>
      <c r="AU2" s="159" t="str">
        <f>IF(AI2&lt;0,"Cost-saving", IF(AT2=".", ".", IF(AI2&lt;AT2, "Cost-effective", "Not cost-effective")))</f>
        <v>Not cost-effective</v>
      </c>
      <c r="AV2" s="162" t="s">
        <v>160</v>
      </c>
      <c r="AW2" s="162" t="s">
        <v>1993</v>
      </c>
      <c r="AX2" s="168" t="str">
        <f>IF(AW2="Cost-Effective",IF(AK2="Not Cost-Effective",1,0),"")</f>
        <v/>
      </c>
      <c r="AY2" s="168" t="str">
        <f>IF(AW2="Cost-Effective",IF(AM2="Not Cost-Effective",1,0),"")</f>
        <v/>
      </c>
      <c r="AZ2" s="163" t="str">
        <f>IF(AW2="Cost-Effective",IF(AO2="Not Cost-Effective",1,0),"")</f>
        <v/>
      </c>
      <c r="BA2" s="163" t="str">
        <f>IF(AW2="Cost-Effective",IF(AQ2="Not Cost-Effective",1,0),"")</f>
        <v/>
      </c>
      <c r="BB2" s="163" t="str">
        <f>IF(AW2="Cost-Effective",IF(AS2="Not Cost-Effective",1,0),"")</f>
        <v/>
      </c>
      <c r="BC2" s="163" t="str">
        <f>IF(AW2="Cost-Effective",IF(AU2="Not Cost-Effective",1,0),"")</f>
        <v/>
      </c>
      <c r="BD2" s="163">
        <f>SUM(AX2:BC2)</f>
        <v>0</v>
      </c>
      <c r="BE2" s="163" t="s">
        <v>157</v>
      </c>
      <c r="BF2" s="169" t="s">
        <v>1426</v>
      </c>
    </row>
    <row r="3" spans="1:58">
      <c r="A3" s="159">
        <f t="shared" ref="A3:A34" si="9">IF(F3=F2,A2,A2+1)</f>
        <v>1</v>
      </c>
      <c r="B3" s="159">
        <f t="shared" ref="B3:B34" si="10">IF(F3=F2,B2+1,1)</f>
        <v>2</v>
      </c>
      <c r="C3" s="190" t="str">
        <f t="shared" si="0"/>
        <v>0102</v>
      </c>
      <c r="D3" s="159" t="s">
        <v>145</v>
      </c>
      <c r="E3" s="192">
        <v>2014</v>
      </c>
      <c r="F3" s="162" t="s">
        <v>1922</v>
      </c>
      <c r="G3" s="162" t="s">
        <v>147</v>
      </c>
      <c r="H3" s="163" t="str">
        <f t="shared" si="1"/>
        <v>UM</v>
      </c>
      <c r="I3" s="163" t="s">
        <v>148</v>
      </c>
      <c r="J3" s="162" t="s">
        <v>150</v>
      </c>
      <c r="K3" s="162" t="s">
        <v>151</v>
      </c>
      <c r="L3" s="162" t="s">
        <v>149</v>
      </c>
      <c r="M3" s="162" t="s">
        <v>2013</v>
      </c>
      <c r="N3" s="163" t="s">
        <v>157</v>
      </c>
      <c r="O3" s="164" t="s">
        <v>153</v>
      </c>
      <c r="P3" s="162" t="s">
        <v>154</v>
      </c>
      <c r="Q3" s="162" t="s">
        <v>155</v>
      </c>
      <c r="R3" s="192">
        <v>2011</v>
      </c>
      <c r="S3" s="194">
        <v>127</v>
      </c>
      <c r="T3" s="194">
        <f>IF(ISNUMBER(S3),S3/VLOOKUP($Q3,xRates!$A$1:$AA$267,studies!$R3-xRates!$B$1+2,FALSE),S3)</f>
        <v>127</v>
      </c>
      <c r="V3" s="194"/>
      <c r="W3" s="163" t="s">
        <v>148</v>
      </c>
      <c r="X3" s="163" t="s">
        <v>157</v>
      </c>
      <c r="Y3" s="163" t="s">
        <v>148</v>
      </c>
      <c r="Z3" s="163" t="s">
        <v>148</v>
      </c>
      <c r="AA3" s="163" t="s">
        <v>148</v>
      </c>
      <c r="AB3" s="163" t="s">
        <v>159</v>
      </c>
      <c r="AC3" s="192">
        <v>95319</v>
      </c>
      <c r="AD3" s="192">
        <v>95319</v>
      </c>
      <c r="AE3" s="192" t="str">
        <f t="shared" ref="AE3:AE66" si="11">IF(AD3&lt;0, "Yes", "No")</f>
        <v>No</v>
      </c>
      <c r="AF3" s="192">
        <f t="shared" si="2"/>
        <v>5614.3521350000001</v>
      </c>
      <c r="AG3" s="159" t="str">
        <f t="shared" ref="AG3:AG66" si="12">IF(AD3="NA", ".", IF(AD3&lt;0,"Cost-saving",IF(AD3&lt;=AF3,"Cost-effective",IF(AD3&gt;AF3&amp;AD3&lt;&gt;"NA","Not cost-effective","Missing"))))</f>
        <v>Not cost-effective</v>
      </c>
      <c r="AH3" s="159" t="str">
        <f t="shared" ref="AH3:AH66" si="13">IF(AD3="NA", ".", IF(AD3&lt;0,"Cost-saving",IF(AD3&lt;=AF3*3,"Cost-effective",IF(AD3&gt;AF3*3&amp;AD3&lt;&gt;"NA","Not cost-effective","Missing"))))</f>
        <v>Not cost-effective</v>
      </c>
      <c r="AI3" s="198">
        <f t="shared" ref="AI3:AI66" si="14">IFERROR(AD3/AF3,"")</f>
        <v>16.977738073424209</v>
      </c>
      <c r="AJ3" s="198">
        <f t="shared" si="3"/>
        <v>0.71</v>
      </c>
      <c r="AK3" s="159" t="str">
        <f t="shared" ref="AK3:AK66" si="15">IF(AI3&lt;0,"Cost-saving", IF(AJ3=".", ".", IF(AI3&lt;AJ3, "Cost-effective", "Not cost-effective")))</f>
        <v>Not cost-effective</v>
      </c>
      <c r="AL3" s="198">
        <f t="shared" si="4"/>
        <v>0.45</v>
      </c>
      <c r="AM3" s="162" t="str">
        <f t="shared" ref="AM3:AM66" si="16">IF(AI3&lt;0,"Cost-saving", IF(AL3=".", ".", IF(AI3&lt;AL3, "Cost-effective", "Not cost-effective")))</f>
        <v>Not cost-effective</v>
      </c>
      <c r="AN3" s="198">
        <f t="shared" si="5"/>
        <v>0.6481168977852142</v>
      </c>
      <c r="AO3" s="159" t="str">
        <f t="shared" ref="AO3:AO66" si="17">IF(AI3&lt;0,"Cost-saving", IF(AN3=".", ".", IF(AI3&lt;AN3, "Cost-effective", "Not cost-effective")))</f>
        <v>Not cost-effective</v>
      </c>
      <c r="AP3" s="198">
        <f t="shared" si="6"/>
        <v>0.16395220864852342</v>
      </c>
      <c r="AQ3" s="159" t="str">
        <f t="shared" ref="AQ3:AQ66" si="18">IF(AI3&lt;0,"Cost-saving", IF(AP3=".", ".", IF(AI3&lt;AP3, "Cost-effective", "Not cost-effective")))</f>
        <v>Not cost-effective</v>
      </c>
      <c r="AR3" s="198">
        <f t="shared" si="7"/>
        <v>0.90271550536772804</v>
      </c>
      <c r="AS3" s="159" t="str">
        <f t="shared" ref="AS3:AS66" si="19">IF(AI3&lt;0,"Cost-saving", IF(AR3=".", ".", IF(AI3&lt;AR3, "Cost-effective", "Not cost-effective")))</f>
        <v>Not cost-effective</v>
      </c>
      <c r="AT3" s="198">
        <f t="shared" si="8"/>
        <v>0.37411874444365267</v>
      </c>
      <c r="AU3" s="159" t="str">
        <f t="shared" ref="AU3:AU66" si="20">IF(AI3&lt;0,"Cost-saving", IF(AT3=".", ".", IF(AI3&lt;AT3, "Cost-effective", "Not cost-effective")))</f>
        <v>Not cost-effective</v>
      </c>
      <c r="AV3" s="162" t="s">
        <v>160</v>
      </c>
      <c r="AW3" s="162" t="s">
        <v>1993</v>
      </c>
      <c r="AX3" s="168" t="str">
        <f t="shared" ref="AX3:AX66" si="21">IF(AW3="Cost-Effective",IF(AK3="Not Cost-Effective",1,0),"")</f>
        <v/>
      </c>
      <c r="AY3" s="168" t="str">
        <f t="shared" ref="AY3:AY66" si="22">IF(AW3="Cost-Effective",IF(AM3="Not Cost-Effective",1,0),"")</f>
        <v/>
      </c>
      <c r="AZ3" s="163" t="str">
        <f t="shared" ref="AZ3:AZ66" si="23">IF(AW3="Cost-Effective",IF(AO3="Not Cost-Effective",1,0),"")</f>
        <v/>
      </c>
      <c r="BA3" s="163" t="str">
        <f t="shared" ref="BA3:BA66" si="24">IF(AW3="Cost-Effective",IF(AQ3="Not Cost-Effective",1,0),"")</f>
        <v/>
      </c>
      <c r="BB3" s="163" t="str">
        <f t="shared" ref="BB3:BB66" si="25">IF(AW3="Cost-Effective",IF(AS3="Not Cost-Effective",1,0),"")</f>
        <v/>
      </c>
      <c r="BC3" s="163" t="str">
        <f t="shared" ref="BC3:BC66" si="26">IF(AW3="Cost-Effective",IF(AU3="Not Cost-Effective",1,0),"")</f>
        <v/>
      </c>
      <c r="BD3" s="163">
        <f t="shared" ref="BD3:BD66" si="27">SUM(AX3:BC3)</f>
        <v>0</v>
      </c>
      <c r="BE3" s="163" t="s">
        <v>157</v>
      </c>
      <c r="BF3" s="169" t="s">
        <v>1426</v>
      </c>
    </row>
    <row r="4" spans="1:58">
      <c r="A4" s="159">
        <f t="shared" si="9"/>
        <v>2</v>
      </c>
      <c r="B4" s="159">
        <f t="shared" si="10"/>
        <v>1</v>
      </c>
      <c r="C4" s="190" t="str">
        <f t="shared" si="0"/>
        <v>0201</v>
      </c>
      <c r="D4" s="159" t="s">
        <v>164</v>
      </c>
      <c r="E4" s="192">
        <v>2015</v>
      </c>
      <c r="F4" s="162" t="s">
        <v>1923</v>
      </c>
      <c r="G4" s="162" t="s">
        <v>147</v>
      </c>
      <c r="H4" s="163" t="str">
        <f t="shared" si="1"/>
        <v>UM</v>
      </c>
      <c r="I4" s="163" t="s">
        <v>148</v>
      </c>
      <c r="J4" s="162" t="s">
        <v>150</v>
      </c>
      <c r="K4" s="162" t="s">
        <v>151</v>
      </c>
      <c r="L4" s="162" t="s">
        <v>149</v>
      </c>
      <c r="M4" s="162" t="s">
        <v>2014</v>
      </c>
      <c r="N4" s="163" t="s">
        <v>148</v>
      </c>
      <c r="O4" s="164" t="s">
        <v>1979</v>
      </c>
      <c r="P4" s="162" t="s">
        <v>168</v>
      </c>
      <c r="Q4" s="162" t="s">
        <v>147</v>
      </c>
      <c r="R4" s="192">
        <v>2011</v>
      </c>
      <c r="S4" s="194">
        <v>860</v>
      </c>
      <c r="T4" s="194">
        <f>IF(ISNUMBER(S4),S4/VLOOKUP($Q4,xRates!$A$1:$AA$267,studies!$R4-xRates!$B$1+2,FALSE),S4)</f>
        <v>133.09682694629308</v>
      </c>
      <c r="V4" s="194"/>
      <c r="W4" s="163" t="s">
        <v>148</v>
      </c>
      <c r="X4" s="163" t="s">
        <v>157</v>
      </c>
      <c r="Y4" s="163" t="s">
        <v>148</v>
      </c>
      <c r="Z4" s="163" t="s">
        <v>148</v>
      </c>
      <c r="AA4" s="163" t="s">
        <v>148</v>
      </c>
      <c r="AB4" s="163" t="s">
        <v>159</v>
      </c>
      <c r="AC4" s="192">
        <v>13737</v>
      </c>
      <c r="AD4" s="192">
        <f>AC4/xRates!$U$43</f>
        <v>2205.8651121426265</v>
      </c>
      <c r="AE4" s="192" t="str">
        <f t="shared" si="11"/>
        <v>No</v>
      </c>
      <c r="AF4" s="192">
        <f t="shared" si="2"/>
        <v>5614.3521350000001</v>
      </c>
      <c r="AG4" s="159" t="str">
        <f t="shared" si="12"/>
        <v>Cost-effective</v>
      </c>
      <c r="AH4" s="159" t="str">
        <f t="shared" si="13"/>
        <v>Cost-effective</v>
      </c>
      <c r="AI4" s="198">
        <f t="shared" si="14"/>
        <v>0.39289753458662002</v>
      </c>
      <c r="AJ4" s="198">
        <f t="shared" si="3"/>
        <v>0.71</v>
      </c>
      <c r="AK4" s="159" t="str">
        <f t="shared" si="15"/>
        <v>Cost-effective</v>
      </c>
      <c r="AL4" s="198">
        <f t="shared" si="4"/>
        <v>0.45</v>
      </c>
      <c r="AM4" s="162" t="str">
        <f t="shared" si="16"/>
        <v>Cost-effective</v>
      </c>
      <c r="AN4" s="198">
        <f t="shared" si="5"/>
        <v>0.6481168977852142</v>
      </c>
      <c r="AO4" s="159" t="str">
        <f t="shared" si="17"/>
        <v>Cost-effective</v>
      </c>
      <c r="AP4" s="198">
        <f t="shared" si="6"/>
        <v>0.16395220864852342</v>
      </c>
      <c r="AQ4" s="159" t="str">
        <f t="shared" si="18"/>
        <v>Not cost-effective</v>
      </c>
      <c r="AR4" s="198">
        <f t="shared" si="7"/>
        <v>0.90271550536772804</v>
      </c>
      <c r="AS4" s="159" t="str">
        <f t="shared" si="19"/>
        <v>Cost-effective</v>
      </c>
      <c r="AT4" s="198">
        <f t="shared" si="8"/>
        <v>0.37411874444365267</v>
      </c>
      <c r="AU4" s="159" t="str">
        <f t="shared" si="20"/>
        <v>Not cost-effective</v>
      </c>
      <c r="AV4" s="162" t="s">
        <v>173</v>
      </c>
      <c r="AW4" s="162" t="s">
        <v>1995</v>
      </c>
      <c r="AX4" s="168">
        <f t="shared" si="21"/>
        <v>0</v>
      </c>
      <c r="AY4" s="168">
        <f t="shared" si="22"/>
        <v>0</v>
      </c>
      <c r="AZ4" s="163">
        <f t="shared" si="23"/>
        <v>0</v>
      </c>
      <c r="BA4" s="163">
        <f t="shared" si="24"/>
        <v>1</v>
      </c>
      <c r="BB4" s="163">
        <f t="shared" si="25"/>
        <v>0</v>
      </c>
      <c r="BC4" s="163">
        <f t="shared" si="26"/>
        <v>1</v>
      </c>
      <c r="BD4" s="163">
        <f t="shared" si="27"/>
        <v>2</v>
      </c>
      <c r="BE4" s="163" t="s">
        <v>157</v>
      </c>
      <c r="BF4" s="162" t="s">
        <v>1425</v>
      </c>
    </row>
    <row r="5" spans="1:58">
      <c r="A5" s="159">
        <f t="shared" si="9"/>
        <v>3</v>
      </c>
      <c r="B5" s="159">
        <f t="shared" si="10"/>
        <v>1</v>
      </c>
      <c r="C5" s="190" t="str">
        <f t="shared" si="0"/>
        <v>0301</v>
      </c>
      <c r="D5" s="159" t="s">
        <v>175</v>
      </c>
      <c r="E5" s="192">
        <v>2016</v>
      </c>
      <c r="F5" s="162" t="s">
        <v>1924</v>
      </c>
      <c r="G5" s="162" t="s">
        <v>147</v>
      </c>
      <c r="H5" s="163" t="str">
        <f t="shared" si="1"/>
        <v>UM</v>
      </c>
      <c r="I5" s="163" t="s">
        <v>148</v>
      </c>
      <c r="J5" s="162" t="s">
        <v>150</v>
      </c>
      <c r="K5" s="162" t="s">
        <v>151</v>
      </c>
      <c r="L5" s="162" t="s">
        <v>149</v>
      </c>
      <c r="N5" s="163" t="s">
        <v>148</v>
      </c>
      <c r="O5" s="164" t="s">
        <v>153</v>
      </c>
      <c r="P5" s="162" t="s">
        <v>154</v>
      </c>
      <c r="Q5" s="162" t="s">
        <v>155</v>
      </c>
      <c r="R5" s="192">
        <v>2014</v>
      </c>
      <c r="S5" s="194">
        <v>146</v>
      </c>
      <c r="T5" s="194">
        <f>IF(ISNUMBER(S5),S5/VLOOKUP($Q5,xRates!$A$1:$AA$267,studies!$R5-xRates!$B$1+2,FALSE),S5)</f>
        <v>146</v>
      </c>
      <c r="V5" s="194"/>
      <c r="W5" s="163" t="s">
        <v>157</v>
      </c>
      <c r="X5" s="163" t="s">
        <v>157</v>
      </c>
      <c r="Y5" s="163" t="s">
        <v>148</v>
      </c>
      <c r="Z5" s="163" t="s">
        <v>148</v>
      </c>
      <c r="AA5" s="163" t="s">
        <v>148</v>
      </c>
      <c r="AB5" s="163" t="s">
        <v>159</v>
      </c>
      <c r="AC5" s="192">
        <v>18224</v>
      </c>
      <c r="AD5" s="192">
        <v>18224</v>
      </c>
      <c r="AE5" s="192" t="str">
        <f t="shared" si="11"/>
        <v>No</v>
      </c>
      <c r="AF5" s="192">
        <f t="shared" si="2"/>
        <v>7636.1166009999997</v>
      </c>
      <c r="AG5" s="159" t="str">
        <f t="shared" si="12"/>
        <v>Not cost-effective</v>
      </c>
      <c r="AH5" s="159" t="str">
        <f t="shared" si="13"/>
        <v>Cost-effective</v>
      </c>
      <c r="AI5" s="198">
        <f t="shared" si="14"/>
        <v>2.3865533951659992</v>
      </c>
      <c r="AJ5" s="198">
        <f t="shared" si="3"/>
        <v>0.71</v>
      </c>
      <c r="AK5" s="159" t="str">
        <f t="shared" si="15"/>
        <v>Not cost-effective</v>
      </c>
      <c r="AL5" s="198">
        <f t="shared" si="4"/>
        <v>0.45</v>
      </c>
      <c r="AM5" s="162" t="str">
        <f t="shared" si="16"/>
        <v>Not cost-effective</v>
      </c>
      <c r="AN5" s="198">
        <f t="shared" si="5"/>
        <v>0.6481168977852142</v>
      </c>
      <c r="AO5" s="159" t="str">
        <f t="shared" si="17"/>
        <v>Not cost-effective</v>
      </c>
      <c r="AP5" s="198">
        <f t="shared" si="6"/>
        <v>0.16395220864852342</v>
      </c>
      <c r="AQ5" s="159" t="str">
        <f t="shared" si="18"/>
        <v>Not cost-effective</v>
      </c>
      <c r="AR5" s="198">
        <f t="shared" si="7"/>
        <v>0.90271550536772804</v>
      </c>
      <c r="AS5" s="159" t="str">
        <f t="shared" si="19"/>
        <v>Not cost-effective</v>
      </c>
      <c r="AT5" s="198">
        <f t="shared" si="8"/>
        <v>0.37411874444365267</v>
      </c>
      <c r="AU5" s="159" t="str">
        <f t="shared" si="20"/>
        <v>Not cost-effective</v>
      </c>
      <c r="AV5" s="162" t="s">
        <v>173</v>
      </c>
      <c r="AW5" s="162" t="s">
        <v>1995</v>
      </c>
      <c r="AX5" s="168">
        <f t="shared" si="21"/>
        <v>1</v>
      </c>
      <c r="AY5" s="168">
        <f t="shared" si="22"/>
        <v>1</v>
      </c>
      <c r="AZ5" s="163">
        <f t="shared" si="23"/>
        <v>1</v>
      </c>
      <c r="BA5" s="163">
        <f t="shared" si="24"/>
        <v>1</v>
      </c>
      <c r="BB5" s="163">
        <f t="shared" si="25"/>
        <v>1</v>
      </c>
      <c r="BC5" s="163">
        <f t="shared" si="26"/>
        <v>1</v>
      </c>
      <c r="BD5" s="163">
        <f t="shared" si="27"/>
        <v>6</v>
      </c>
      <c r="BE5" s="163" t="s">
        <v>157</v>
      </c>
      <c r="BF5" s="169" t="s">
        <v>1426</v>
      </c>
    </row>
    <row r="6" spans="1:58">
      <c r="A6" s="159">
        <f t="shared" si="9"/>
        <v>3</v>
      </c>
      <c r="B6" s="159">
        <f t="shared" si="10"/>
        <v>2</v>
      </c>
      <c r="C6" s="190" t="str">
        <f t="shared" si="0"/>
        <v>0302</v>
      </c>
      <c r="D6" s="159" t="s">
        <v>175</v>
      </c>
      <c r="E6" s="192">
        <v>2016</v>
      </c>
      <c r="F6" s="162" t="s">
        <v>1924</v>
      </c>
      <c r="G6" s="162" t="s">
        <v>147</v>
      </c>
      <c r="H6" s="163" t="str">
        <f t="shared" si="1"/>
        <v>UM</v>
      </c>
      <c r="I6" s="163" t="s">
        <v>148</v>
      </c>
      <c r="J6" s="162" t="s">
        <v>183</v>
      </c>
      <c r="K6" s="162" t="s">
        <v>151</v>
      </c>
      <c r="L6" s="162" t="s">
        <v>352</v>
      </c>
      <c r="N6" s="163" t="s">
        <v>148</v>
      </c>
      <c r="O6" s="164" t="s">
        <v>153</v>
      </c>
      <c r="P6" s="162" t="s">
        <v>154</v>
      </c>
      <c r="Q6" s="162" t="s">
        <v>155</v>
      </c>
      <c r="R6" s="192">
        <v>2014</v>
      </c>
      <c r="S6" s="194">
        <v>146</v>
      </c>
      <c r="T6" s="194">
        <f>IF(ISNUMBER(S6),S6/VLOOKUP($Q6,xRates!$A$1:$AA$267,studies!$R6-xRates!$B$1+2,FALSE),S6)</f>
        <v>146</v>
      </c>
      <c r="V6" s="194"/>
      <c r="W6" s="163" t="s">
        <v>157</v>
      </c>
      <c r="X6" s="163" t="s">
        <v>157</v>
      </c>
      <c r="Y6" s="163" t="s">
        <v>148</v>
      </c>
      <c r="Z6" s="163" t="s">
        <v>148</v>
      </c>
      <c r="AA6" s="163" t="s">
        <v>148</v>
      </c>
      <c r="AB6" s="163" t="s">
        <v>159</v>
      </c>
      <c r="AC6" s="192">
        <v>16664</v>
      </c>
      <c r="AD6" s="192">
        <v>16664</v>
      </c>
      <c r="AE6" s="192" t="str">
        <f t="shared" si="11"/>
        <v>No</v>
      </c>
      <c r="AF6" s="192">
        <f t="shared" si="2"/>
        <v>7636.1166009999997</v>
      </c>
      <c r="AG6" s="159" t="str">
        <f t="shared" si="12"/>
        <v>Not cost-effective</v>
      </c>
      <c r="AH6" s="159" t="str">
        <f t="shared" si="13"/>
        <v>Cost-effective</v>
      </c>
      <c r="AI6" s="198">
        <f t="shared" si="14"/>
        <v>2.1822610720503848</v>
      </c>
      <c r="AJ6" s="198">
        <f t="shared" si="3"/>
        <v>0.71</v>
      </c>
      <c r="AK6" s="159" t="str">
        <f t="shared" si="15"/>
        <v>Not cost-effective</v>
      </c>
      <c r="AL6" s="198">
        <f t="shared" si="4"/>
        <v>0.45</v>
      </c>
      <c r="AM6" s="162" t="str">
        <f t="shared" si="16"/>
        <v>Not cost-effective</v>
      </c>
      <c r="AN6" s="198">
        <f t="shared" si="5"/>
        <v>0.6481168977852142</v>
      </c>
      <c r="AO6" s="159" t="str">
        <f t="shared" si="17"/>
        <v>Not cost-effective</v>
      </c>
      <c r="AP6" s="198">
        <f t="shared" si="6"/>
        <v>0.16395220864852342</v>
      </c>
      <c r="AQ6" s="159" t="str">
        <f t="shared" si="18"/>
        <v>Not cost-effective</v>
      </c>
      <c r="AR6" s="198">
        <f t="shared" si="7"/>
        <v>0.90271550536772804</v>
      </c>
      <c r="AS6" s="159" t="str">
        <f t="shared" si="19"/>
        <v>Not cost-effective</v>
      </c>
      <c r="AT6" s="198">
        <f t="shared" si="8"/>
        <v>0.37411874444365267</v>
      </c>
      <c r="AU6" s="159" t="str">
        <f t="shared" si="20"/>
        <v>Not cost-effective</v>
      </c>
      <c r="AV6" s="162" t="s">
        <v>173</v>
      </c>
      <c r="AW6" s="162" t="s">
        <v>1995</v>
      </c>
      <c r="AX6" s="168">
        <f t="shared" si="21"/>
        <v>1</v>
      </c>
      <c r="AY6" s="168">
        <f t="shared" si="22"/>
        <v>1</v>
      </c>
      <c r="AZ6" s="163">
        <f t="shared" si="23"/>
        <v>1</v>
      </c>
      <c r="BA6" s="163">
        <f t="shared" si="24"/>
        <v>1</v>
      </c>
      <c r="BB6" s="163">
        <f t="shared" si="25"/>
        <v>1</v>
      </c>
      <c r="BC6" s="163">
        <f t="shared" si="26"/>
        <v>1</v>
      </c>
      <c r="BD6" s="163">
        <f t="shared" si="27"/>
        <v>6</v>
      </c>
      <c r="BE6" s="163" t="s">
        <v>157</v>
      </c>
      <c r="BF6" s="169" t="s">
        <v>1426</v>
      </c>
    </row>
    <row r="7" spans="1:58">
      <c r="A7" s="159">
        <f t="shared" si="9"/>
        <v>3</v>
      </c>
      <c r="B7" s="159">
        <f t="shared" si="10"/>
        <v>3</v>
      </c>
      <c r="C7" s="190" t="str">
        <f t="shared" si="0"/>
        <v>0303</v>
      </c>
      <c r="D7" s="159" t="s">
        <v>175</v>
      </c>
      <c r="E7" s="192">
        <v>2016</v>
      </c>
      <c r="F7" s="162" t="s">
        <v>1924</v>
      </c>
      <c r="G7" s="162" t="s">
        <v>147</v>
      </c>
      <c r="H7" s="163" t="str">
        <f t="shared" si="1"/>
        <v>UM</v>
      </c>
      <c r="I7" s="163" t="s">
        <v>148</v>
      </c>
      <c r="J7" s="162" t="s">
        <v>186</v>
      </c>
      <c r="K7" s="162" t="s">
        <v>151</v>
      </c>
      <c r="L7" s="162" t="s">
        <v>353</v>
      </c>
      <c r="N7" s="163" t="s">
        <v>148</v>
      </c>
      <c r="O7" s="164" t="s">
        <v>153</v>
      </c>
      <c r="P7" s="162" t="s">
        <v>154</v>
      </c>
      <c r="Q7" s="162" t="s">
        <v>155</v>
      </c>
      <c r="R7" s="192">
        <v>2014</v>
      </c>
      <c r="S7" s="194">
        <v>146</v>
      </c>
      <c r="T7" s="194">
        <f>IF(ISNUMBER(S7),S7/VLOOKUP($Q7,xRates!$A$1:$AA$267,studies!$R7-xRates!$B$1+2,FALSE),S7)</f>
        <v>146</v>
      </c>
      <c r="V7" s="194"/>
      <c r="W7" s="163" t="s">
        <v>157</v>
      </c>
      <c r="X7" s="163" t="s">
        <v>157</v>
      </c>
      <c r="Y7" s="163" t="s">
        <v>148</v>
      </c>
      <c r="Z7" s="163" t="s">
        <v>148</v>
      </c>
      <c r="AA7" s="163" t="s">
        <v>148</v>
      </c>
      <c r="AB7" s="163" t="s">
        <v>159</v>
      </c>
      <c r="AC7" s="192">
        <v>11436</v>
      </c>
      <c r="AD7" s="192">
        <v>11436</v>
      </c>
      <c r="AE7" s="192" t="str">
        <f t="shared" si="11"/>
        <v>No</v>
      </c>
      <c r="AF7" s="192">
        <f t="shared" si="2"/>
        <v>7636.1166009999997</v>
      </c>
      <c r="AG7" s="159" t="str">
        <f t="shared" si="12"/>
        <v>Not cost-effective</v>
      </c>
      <c r="AH7" s="159" t="str">
        <f t="shared" si="13"/>
        <v>Cost-effective</v>
      </c>
      <c r="AI7" s="198">
        <f t="shared" si="14"/>
        <v>1.4976198763783126</v>
      </c>
      <c r="AJ7" s="198">
        <f t="shared" si="3"/>
        <v>0.71</v>
      </c>
      <c r="AK7" s="159" t="str">
        <f t="shared" si="15"/>
        <v>Not cost-effective</v>
      </c>
      <c r="AL7" s="198">
        <f t="shared" si="4"/>
        <v>0.45</v>
      </c>
      <c r="AM7" s="162" t="str">
        <f t="shared" si="16"/>
        <v>Not cost-effective</v>
      </c>
      <c r="AN7" s="198">
        <f t="shared" si="5"/>
        <v>0.6481168977852142</v>
      </c>
      <c r="AO7" s="159" t="str">
        <f t="shared" si="17"/>
        <v>Not cost-effective</v>
      </c>
      <c r="AP7" s="198">
        <f t="shared" si="6"/>
        <v>0.16395220864852342</v>
      </c>
      <c r="AQ7" s="159" t="str">
        <f t="shared" si="18"/>
        <v>Not cost-effective</v>
      </c>
      <c r="AR7" s="198">
        <f t="shared" si="7"/>
        <v>0.90271550536772804</v>
      </c>
      <c r="AS7" s="159" t="str">
        <f t="shared" si="19"/>
        <v>Not cost-effective</v>
      </c>
      <c r="AT7" s="198">
        <f t="shared" si="8"/>
        <v>0.37411874444365267</v>
      </c>
      <c r="AU7" s="159" t="str">
        <f t="shared" si="20"/>
        <v>Not cost-effective</v>
      </c>
      <c r="AV7" s="162" t="s">
        <v>173</v>
      </c>
      <c r="AW7" s="162" t="s">
        <v>1995</v>
      </c>
      <c r="AX7" s="168">
        <f t="shared" si="21"/>
        <v>1</v>
      </c>
      <c r="AY7" s="168">
        <f t="shared" si="22"/>
        <v>1</v>
      </c>
      <c r="AZ7" s="163">
        <f t="shared" si="23"/>
        <v>1</v>
      </c>
      <c r="BA7" s="163">
        <f t="shared" si="24"/>
        <v>1</v>
      </c>
      <c r="BB7" s="163">
        <f t="shared" si="25"/>
        <v>1</v>
      </c>
      <c r="BC7" s="163">
        <f t="shared" si="26"/>
        <v>1</v>
      </c>
      <c r="BD7" s="163">
        <f t="shared" si="27"/>
        <v>6</v>
      </c>
      <c r="BE7" s="163" t="s">
        <v>157</v>
      </c>
      <c r="BF7" s="169" t="s">
        <v>1426</v>
      </c>
    </row>
    <row r="8" spans="1:58">
      <c r="A8" s="159">
        <f t="shared" si="9"/>
        <v>4</v>
      </c>
      <c r="B8" s="159">
        <f t="shared" si="10"/>
        <v>1</v>
      </c>
      <c r="C8" s="190" t="str">
        <f t="shared" si="0"/>
        <v>0401</v>
      </c>
      <c r="D8" s="159" t="s">
        <v>188</v>
      </c>
      <c r="E8" s="192">
        <v>2016</v>
      </c>
      <c r="F8" s="162" t="s">
        <v>1925</v>
      </c>
      <c r="G8" s="162" t="s">
        <v>147</v>
      </c>
      <c r="H8" s="163" t="str">
        <f t="shared" si="1"/>
        <v>UM</v>
      </c>
      <c r="I8" s="163" t="s">
        <v>148</v>
      </c>
      <c r="J8" s="162" t="s">
        <v>150</v>
      </c>
      <c r="K8" s="162" t="s">
        <v>151</v>
      </c>
      <c r="L8" s="162" t="s">
        <v>149</v>
      </c>
      <c r="M8" s="162" t="s">
        <v>2014</v>
      </c>
      <c r="N8" s="163" t="s">
        <v>148</v>
      </c>
      <c r="O8" s="164" t="s">
        <v>153</v>
      </c>
      <c r="P8" s="162" t="s">
        <v>154</v>
      </c>
      <c r="Q8" s="162" t="s">
        <v>155</v>
      </c>
      <c r="R8" s="192">
        <v>2015</v>
      </c>
      <c r="S8" s="194">
        <v>58</v>
      </c>
      <c r="T8" s="194">
        <f>IF(ISNUMBER(S8),S8/VLOOKUP($Q8,xRates!$A$1:$AA$267,studies!$R8-xRates!$B$1+2,FALSE),S8)</f>
        <v>58</v>
      </c>
      <c r="V8" s="194"/>
      <c r="W8" s="163" t="s">
        <v>148</v>
      </c>
      <c r="X8" s="163" t="s">
        <v>157</v>
      </c>
      <c r="Y8" s="163" t="s">
        <v>148</v>
      </c>
      <c r="Z8" s="163" t="s">
        <v>148</v>
      </c>
      <c r="AA8" s="163" t="s">
        <v>148</v>
      </c>
      <c r="AB8" s="163" t="s">
        <v>159</v>
      </c>
      <c r="AC8" s="192">
        <v>104094</v>
      </c>
      <c r="AD8" s="192">
        <v>104094</v>
      </c>
      <c r="AE8" s="192" t="str">
        <f t="shared" si="11"/>
        <v>No</v>
      </c>
      <c r="AF8" s="192">
        <f t="shared" si="2"/>
        <v>8016.4314350000004</v>
      </c>
      <c r="AG8" s="159" t="str">
        <f t="shared" si="12"/>
        <v>Not cost-effective</v>
      </c>
      <c r="AH8" s="159" t="str">
        <f t="shared" si="13"/>
        <v>Not cost-effective</v>
      </c>
      <c r="AI8" s="198">
        <f t="shared" si="14"/>
        <v>12.985079563647512</v>
      </c>
      <c r="AJ8" s="198">
        <f t="shared" si="3"/>
        <v>0.71</v>
      </c>
      <c r="AK8" s="159" t="str">
        <f t="shared" si="15"/>
        <v>Not cost-effective</v>
      </c>
      <c r="AL8" s="198">
        <f t="shared" si="4"/>
        <v>0.45</v>
      </c>
      <c r="AM8" s="162" t="str">
        <f t="shared" si="16"/>
        <v>Not cost-effective</v>
      </c>
      <c r="AN8" s="198">
        <f t="shared" si="5"/>
        <v>0.6481168977852142</v>
      </c>
      <c r="AO8" s="159" t="str">
        <f t="shared" si="17"/>
        <v>Not cost-effective</v>
      </c>
      <c r="AP8" s="198">
        <f t="shared" si="6"/>
        <v>0.16395220864852342</v>
      </c>
      <c r="AQ8" s="159" t="str">
        <f t="shared" si="18"/>
        <v>Not cost-effective</v>
      </c>
      <c r="AR8" s="198">
        <f t="shared" si="7"/>
        <v>0.90271550536772804</v>
      </c>
      <c r="AS8" s="159" t="str">
        <f t="shared" si="19"/>
        <v>Not cost-effective</v>
      </c>
      <c r="AT8" s="198">
        <f t="shared" si="8"/>
        <v>0.37411874444365267</v>
      </c>
      <c r="AU8" s="159" t="str">
        <f t="shared" si="20"/>
        <v>Not cost-effective</v>
      </c>
      <c r="AV8" s="162" t="s">
        <v>173</v>
      </c>
      <c r="AW8" s="162" t="s">
        <v>1993</v>
      </c>
      <c r="AX8" s="168" t="str">
        <f t="shared" si="21"/>
        <v/>
      </c>
      <c r="AY8" s="168" t="str">
        <f t="shared" si="22"/>
        <v/>
      </c>
      <c r="AZ8" s="163" t="str">
        <f t="shared" si="23"/>
        <v/>
      </c>
      <c r="BA8" s="163" t="str">
        <f t="shared" si="24"/>
        <v/>
      </c>
      <c r="BB8" s="163" t="str">
        <f t="shared" si="25"/>
        <v/>
      </c>
      <c r="BC8" s="163" t="str">
        <f t="shared" si="26"/>
        <v/>
      </c>
      <c r="BD8" s="163">
        <f t="shared" si="27"/>
        <v>0</v>
      </c>
      <c r="BE8" s="163" t="s">
        <v>157</v>
      </c>
      <c r="BF8" s="162" t="s">
        <v>1403</v>
      </c>
    </row>
    <row r="9" spans="1:58">
      <c r="A9" s="159">
        <f t="shared" si="9"/>
        <v>4</v>
      </c>
      <c r="B9" s="159">
        <f t="shared" si="10"/>
        <v>2</v>
      </c>
      <c r="C9" s="190" t="str">
        <f t="shared" si="0"/>
        <v>0402</v>
      </c>
      <c r="D9" s="159" t="s">
        <v>188</v>
      </c>
      <c r="E9" s="192">
        <v>2016</v>
      </c>
      <c r="F9" s="162" t="s">
        <v>1925</v>
      </c>
      <c r="G9" s="162" t="s">
        <v>147</v>
      </c>
      <c r="H9" s="163" t="str">
        <f t="shared" si="1"/>
        <v>UM</v>
      </c>
      <c r="I9" s="163" t="s">
        <v>148</v>
      </c>
      <c r="J9" s="162" t="s">
        <v>186</v>
      </c>
      <c r="K9" s="162" t="s">
        <v>151</v>
      </c>
      <c r="L9" s="162" t="s">
        <v>353</v>
      </c>
      <c r="M9" s="162" t="s">
        <v>2014</v>
      </c>
      <c r="N9" s="163" t="s">
        <v>148</v>
      </c>
      <c r="O9" s="164" t="s">
        <v>153</v>
      </c>
      <c r="P9" s="162" t="s">
        <v>154</v>
      </c>
      <c r="Q9" s="162" t="s">
        <v>155</v>
      </c>
      <c r="R9" s="192">
        <v>2015</v>
      </c>
      <c r="S9" s="194">
        <v>58</v>
      </c>
      <c r="T9" s="194">
        <f>IF(ISNUMBER(S9),S9/VLOOKUP($Q9,xRates!$A$1:$AA$267,studies!$R9-xRates!$B$1+2,FALSE),S9)</f>
        <v>58</v>
      </c>
      <c r="V9" s="194"/>
      <c r="W9" s="163" t="s">
        <v>148</v>
      </c>
      <c r="X9" s="163" t="s">
        <v>157</v>
      </c>
      <c r="Y9" s="163" t="s">
        <v>148</v>
      </c>
      <c r="Z9" s="163" t="s">
        <v>148</v>
      </c>
      <c r="AA9" s="163" t="s">
        <v>148</v>
      </c>
      <c r="AB9" s="163" t="s">
        <v>159</v>
      </c>
      <c r="AC9" s="192">
        <v>29460</v>
      </c>
      <c r="AD9" s="192">
        <v>29460</v>
      </c>
      <c r="AE9" s="192" t="str">
        <f t="shared" si="11"/>
        <v>No</v>
      </c>
      <c r="AF9" s="192">
        <f t="shared" si="2"/>
        <v>8016.4314350000004</v>
      </c>
      <c r="AG9" s="159" t="str">
        <f t="shared" si="12"/>
        <v>Not cost-effective</v>
      </c>
      <c r="AH9" s="159" t="str">
        <f t="shared" si="13"/>
        <v>Not cost-effective</v>
      </c>
      <c r="AI9" s="198">
        <f t="shared" si="14"/>
        <v>3.6749519083237812</v>
      </c>
      <c r="AJ9" s="198">
        <f t="shared" si="3"/>
        <v>0.71</v>
      </c>
      <c r="AK9" s="159" t="str">
        <f t="shared" si="15"/>
        <v>Not cost-effective</v>
      </c>
      <c r="AL9" s="198">
        <f t="shared" si="4"/>
        <v>0.45</v>
      </c>
      <c r="AM9" s="162" t="str">
        <f t="shared" si="16"/>
        <v>Not cost-effective</v>
      </c>
      <c r="AN9" s="198">
        <f t="shared" si="5"/>
        <v>0.6481168977852142</v>
      </c>
      <c r="AO9" s="159" t="str">
        <f t="shared" si="17"/>
        <v>Not cost-effective</v>
      </c>
      <c r="AP9" s="198">
        <f t="shared" si="6"/>
        <v>0.16395220864852342</v>
      </c>
      <c r="AQ9" s="159" t="str">
        <f t="shared" si="18"/>
        <v>Not cost-effective</v>
      </c>
      <c r="AR9" s="198">
        <f t="shared" si="7"/>
        <v>0.90271550536772804</v>
      </c>
      <c r="AS9" s="159" t="str">
        <f t="shared" si="19"/>
        <v>Not cost-effective</v>
      </c>
      <c r="AT9" s="198">
        <f t="shared" si="8"/>
        <v>0.37411874444365267</v>
      </c>
      <c r="AU9" s="159" t="str">
        <f t="shared" si="20"/>
        <v>Not cost-effective</v>
      </c>
      <c r="AV9" s="162" t="s">
        <v>173</v>
      </c>
      <c r="AW9" s="162" t="s">
        <v>1993</v>
      </c>
      <c r="AX9" s="168" t="str">
        <f t="shared" si="21"/>
        <v/>
      </c>
      <c r="AY9" s="168" t="str">
        <f t="shared" si="22"/>
        <v/>
      </c>
      <c r="AZ9" s="163" t="str">
        <f t="shared" si="23"/>
        <v/>
      </c>
      <c r="BA9" s="163" t="str">
        <f t="shared" si="24"/>
        <v/>
      </c>
      <c r="BB9" s="163" t="str">
        <f t="shared" si="25"/>
        <v/>
      </c>
      <c r="BC9" s="163" t="str">
        <f t="shared" si="26"/>
        <v/>
      </c>
      <c r="BD9" s="163">
        <f t="shared" si="27"/>
        <v>0</v>
      </c>
      <c r="BE9" s="163" t="s">
        <v>157</v>
      </c>
      <c r="BF9" s="162" t="s">
        <v>1403</v>
      </c>
    </row>
    <row r="10" spans="1:58">
      <c r="A10" s="159">
        <f t="shared" si="9"/>
        <v>5</v>
      </c>
      <c r="B10" s="159">
        <f t="shared" si="10"/>
        <v>1</v>
      </c>
      <c r="C10" s="190" t="str">
        <f t="shared" si="0"/>
        <v>0501</v>
      </c>
      <c r="D10" s="159" t="s">
        <v>196</v>
      </c>
      <c r="E10" s="192">
        <v>2018</v>
      </c>
      <c r="F10" s="162" t="s">
        <v>1926</v>
      </c>
      <c r="G10" s="162" t="s">
        <v>147</v>
      </c>
      <c r="H10" s="163" t="str">
        <f t="shared" si="1"/>
        <v>UM</v>
      </c>
      <c r="I10" s="163" t="s">
        <v>148</v>
      </c>
      <c r="J10" s="162" t="s">
        <v>186</v>
      </c>
      <c r="K10" s="162" t="s">
        <v>151</v>
      </c>
      <c r="L10" s="162" t="s">
        <v>353</v>
      </c>
      <c r="M10" s="162" t="s">
        <v>2014</v>
      </c>
      <c r="N10" s="163" t="s">
        <v>148</v>
      </c>
      <c r="O10" s="164" t="s">
        <v>1979</v>
      </c>
      <c r="P10" s="162" t="s">
        <v>168</v>
      </c>
      <c r="Q10" s="162" t="s">
        <v>147</v>
      </c>
      <c r="R10" s="192">
        <v>2015</v>
      </c>
      <c r="S10" s="194">
        <v>698</v>
      </c>
      <c r="T10" s="194">
        <f>IF(ISNUMBER(S10),S10/VLOOKUP($Q10,xRates!$A$1:$AA$267,studies!$R10-xRates!$B$1+2,FALSE),S10)</f>
        <v>112.0837044679008</v>
      </c>
      <c r="V10" s="194"/>
      <c r="W10" s="163" t="s">
        <v>157</v>
      </c>
      <c r="X10" s="163" t="s">
        <v>157</v>
      </c>
      <c r="Y10" s="163" t="s">
        <v>148</v>
      </c>
      <c r="Z10" s="163" t="s">
        <v>148</v>
      </c>
      <c r="AA10" s="163" t="s">
        <v>148</v>
      </c>
      <c r="AB10" s="163" t="s">
        <v>159</v>
      </c>
      <c r="AC10" s="192">
        <v>79304</v>
      </c>
      <c r="AD10" s="192">
        <f>AC10/xRates!$U$43</f>
        <v>12734.507305332958</v>
      </c>
      <c r="AE10" s="192" t="str">
        <f t="shared" si="11"/>
        <v>No</v>
      </c>
      <c r="AF10" s="192">
        <f t="shared" si="2"/>
        <v>8016.4314350000004</v>
      </c>
      <c r="AG10" s="159" t="str">
        <f t="shared" si="12"/>
        <v>Not cost-effective</v>
      </c>
      <c r="AH10" s="159" t="str">
        <f t="shared" si="13"/>
        <v>Cost-effective</v>
      </c>
      <c r="AI10" s="198">
        <f t="shared" si="14"/>
        <v>1.5885506423386453</v>
      </c>
      <c r="AJ10" s="198">
        <f t="shared" si="3"/>
        <v>0.71</v>
      </c>
      <c r="AK10" s="159" t="str">
        <f t="shared" si="15"/>
        <v>Not cost-effective</v>
      </c>
      <c r="AL10" s="198">
        <f t="shared" si="4"/>
        <v>0.45</v>
      </c>
      <c r="AM10" s="162" t="str">
        <f t="shared" si="16"/>
        <v>Not cost-effective</v>
      </c>
      <c r="AN10" s="198">
        <f t="shared" si="5"/>
        <v>0.6481168977852142</v>
      </c>
      <c r="AO10" s="159" t="str">
        <f t="shared" si="17"/>
        <v>Not cost-effective</v>
      </c>
      <c r="AP10" s="198">
        <f t="shared" si="6"/>
        <v>0.16395220864852342</v>
      </c>
      <c r="AQ10" s="159" t="str">
        <f t="shared" si="18"/>
        <v>Not cost-effective</v>
      </c>
      <c r="AR10" s="198">
        <f t="shared" si="7"/>
        <v>0.90271550536772804</v>
      </c>
      <c r="AS10" s="159" t="str">
        <f t="shared" si="19"/>
        <v>Not cost-effective</v>
      </c>
      <c r="AT10" s="198">
        <f t="shared" si="8"/>
        <v>0.37411874444365267</v>
      </c>
      <c r="AU10" s="159" t="str">
        <f t="shared" si="20"/>
        <v>Not cost-effective</v>
      </c>
      <c r="AV10" s="162" t="s">
        <v>202</v>
      </c>
      <c r="AW10" s="162" t="s">
        <v>1995</v>
      </c>
      <c r="AX10" s="168">
        <f t="shared" si="21"/>
        <v>1</v>
      </c>
      <c r="AY10" s="168">
        <f t="shared" si="22"/>
        <v>1</v>
      </c>
      <c r="AZ10" s="163">
        <f t="shared" si="23"/>
        <v>1</v>
      </c>
      <c r="BA10" s="163">
        <f t="shared" si="24"/>
        <v>1</v>
      </c>
      <c r="BB10" s="163">
        <f t="shared" si="25"/>
        <v>1</v>
      </c>
      <c r="BC10" s="163">
        <f t="shared" si="26"/>
        <v>1</v>
      </c>
      <c r="BD10" s="163">
        <f t="shared" si="27"/>
        <v>6</v>
      </c>
      <c r="BE10" s="163" t="s">
        <v>157</v>
      </c>
      <c r="BF10" s="162" t="s">
        <v>1425</v>
      </c>
    </row>
    <row r="11" spans="1:58">
      <c r="A11" s="159">
        <f t="shared" si="9"/>
        <v>5</v>
      </c>
      <c r="B11" s="159">
        <f t="shared" si="10"/>
        <v>2</v>
      </c>
      <c r="C11" s="190" t="str">
        <f t="shared" si="0"/>
        <v>0502</v>
      </c>
      <c r="D11" s="159" t="s">
        <v>196</v>
      </c>
      <c r="E11" s="163">
        <v>2018</v>
      </c>
      <c r="F11" s="162" t="s">
        <v>1926</v>
      </c>
      <c r="G11" s="162" t="s">
        <v>147</v>
      </c>
      <c r="H11" s="163" t="str">
        <f t="shared" si="1"/>
        <v>UM</v>
      </c>
      <c r="I11" s="163" t="s">
        <v>148</v>
      </c>
      <c r="J11" s="162" t="s">
        <v>186</v>
      </c>
      <c r="K11" s="162" t="s">
        <v>151</v>
      </c>
      <c r="L11" s="162" t="s">
        <v>353</v>
      </c>
      <c r="M11" s="162" t="s">
        <v>2014</v>
      </c>
      <c r="N11" s="163" t="s">
        <v>148</v>
      </c>
      <c r="O11" s="162" t="s">
        <v>1979</v>
      </c>
      <c r="P11" s="162" t="s">
        <v>168</v>
      </c>
      <c r="Q11" s="162" t="s">
        <v>147</v>
      </c>
      <c r="R11" s="163">
        <v>2015</v>
      </c>
      <c r="S11" s="194">
        <v>698</v>
      </c>
      <c r="T11" s="194">
        <f>IF(ISNUMBER(S11),S11/VLOOKUP($Q11,xRates!$A$1:$AA$267,studies!$R11-xRates!$B$1+2,FALSE),S11)</f>
        <v>112.0837044679008</v>
      </c>
      <c r="V11" s="194"/>
      <c r="W11" s="163" t="s">
        <v>148</v>
      </c>
      <c r="X11" s="163" t="s">
        <v>157</v>
      </c>
      <c r="Y11" s="163" t="s">
        <v>148</v>
      </c>
      <c r="Z11" s="163" t="s">
        <v>148</v>
      </c>
      <c r="AA11" s="163" t="s">
        <v>148</v>
      </c>
      <c r="AB11" s="163" t="s">
        <v>159</v>
      </c>
      <c r="AC11" s="192">
        <v>76551</v>
      </c>
      <c r="AD11" s="192">
        <f>AC11/xRates!$U$43</f>
        <v>12292.435044014719</v>
      </c>
      <c r="AE11" s="192" t="str">
        <f t="shared" si="11"/>
        <v>No</v>
      </c>
      <c r="AF11" s="192">
        <f t="shared" si="2"/>
        <v>8016.4314350000004</v>
      </c>
      <c r="AG11" s="159" t="str">
        <f t="shared" si="12"/>
        <v>Not cost-effective</v>
      </c>
      <c r="AH11" s="159" t="str">
        <f t="shared" si="13"/>
        <v>Cost-effective</v>
      </c>
      <c r="AI11" s="198">
        <f t="shared" si="14"/>
        <v>1.5334048751849292</v>
      </c>
      <c r="AJ11" s="198">
        <f t="shared" si="3"/>
        <v>0.71</v>
      </c>
      <c r="AK11" s="159" t="str">
        <f t="shared" si="15"/>
        <v>Not cost-effective</v>
      </c>
      <c r="AL11" s="198">
        <f t="shared" si="4"/>
        <v>0.45</v>
      </c>
      <c r="AM11" s="162" t="str">
        <f t="shared" si="16"/>
        <v>Not cost-effective</v>
      </c>
      <c r="AN11" s="198">
        <f t="shared" si="5"/>
        <v>0.6481168977852142</v>
      </c>
      <c r="AO11" s="159" t="str">
        <f t="shared" si="17"/>
        <v>Not cost-effective</v>
      </c>
      <c r="AP11" s="198">
        <f t="shared" si="6"/>
        <v>0.16395220864852342</v>
      </c>
      <c r="AQ11" s="159" t="str">
        <f t="shared" si="18"/>
        <v>Not cost-effective</v>
      </c>
      <c r="AR11" s="198">
        <f t="shared" si="7"/>
        <v>0.90271550536772804</v>
      </c>
      <c r="AS11" s="159" t="str">
        <f t="shared" si="19"/>
        <v>Not cost-effective</v>
      </c>
      <c r="AT11" s="198">
        <f t="shared" si="8"/>
        <v>0.37411874444365267</v>
      </c>
      <c r="AU11" s="159" t="str">
        <f t="shared" si="20"/>
        <v>Not cost-effective</v>
      </c>
      <c r="AV11" s="162" t="s">
        <v>202</v>
      </c>
      <c r="AW11" s="162" t="s">
        <v>1995</v>
      </c>
      <c r="AX11" s="168">
        <f t="shared" si="21"/>
        <v>1</v>
      </c>
      <c r="AY11" s="168">
        <f t="shared" si="22"/>
        <v>1</v>
      </c>
      <c r="AZ11" s="163">
        <f t="shared" si="23"/>
        <v>1</v>
      </c>
      <c r="BA11" s="163">
        <f t="shared" si="24"/>
        <v>1</v>
      </c>
      <c r="BB11" s="163">
        <f t="shared" si="25"/>
        <v>1</v>
      </c>
      <c r="BC11" s="163">
        <f t="shared" si="26"/>
        <v>1</v>
      </c>
      <c r="BD11" s="163">
        <f t="shared" si="27"/>
        <v>6</v>
      </c>
      <c r="BE11" s="163" t="s">
        <v>157</v>
      </c>
      <c r="BF11" s="162" t="s">
        <v>1425</v>
      </c>
    </row>
    <row r="12" spans="1:58">
      <c r="A12" s="159">
        <f t="shared" si="9"/>
        <v>5</v>
      </c>
      <c r="B12" s="159">
        <f t="shared" si="10"/>
        <v>3</v>
      </c>
      <c r="C12" s="190" t="str">
        <f t="shared" si="0"/>
        <v>0503</v>
      </c>
      <c r="D12" s="159" t="s">
        <v>196</v>
      </c>
      <c r="E12" s="192">
        <v>2018</v>
      </c>
      <c r="F12" s="162" t="s">
        <v>1926</v>
      </c>
      <c r="G12" s="162" t="s">
        <v>147</v>
      </c>
      <c r="H12" s="163" t="str">
        <f t="shared" si="1"/>
        <v>UM</v>
      </c>
      <c r="I12" s="163" t="s">
        <v>148</v>
      </c>
      <c r="J12" s="162" t="s">
        <v>186</v>
      </c>
      <c r="K12" s="162" t="s">
        <v>151</v>
      </c>
      <c r="L12" s="162" t="s">
        <v>353</v>
      </c>
      <c r="M12" s="162" t="s">
        <v>2014</v>
      </c>
      <c r="N12" s="163" t="s">
        <v>148</v>
      </c>
      <c r="O12" s="164" t="s">
        <v>1979</v>
      </c>
      <c r="P12" s="162" t="s">
        <v>168</v>
      </c>
      <c r="Q12" s="162" t="s">
        <v>147</v>
      </c>
      <c r="R12" s="192">
        <v>2015</v>
      </c>
      <c r="S12" s="194">
        <v>698</v>
      </c>
      <c r="T12" s="194">
        <f>IF(ISNUMBER(S12),S12/VLOOKUP($Q12,xRates!$A$1:$AA$267,studies!$R12-xRates!$B$1+2,FALSE),S12)</f>
        <v>112.0837044679008</v>
      </c>
      <c r="V12" s="194"/>
      <c r="W12" s="163" t="s">
        <v>148</v>
      </c>
      <c r="X12" s="163" t="s">
        <v>157</v>
      </c>
      <c r="Y12" s="163" t="s">
        <v>148</v>
      </c>
      <c r="Z12" s="163" t="s">
        <v>148</v>
      </c>
      <c r="AA12" s="163" t="s">
        <v>148</v>
      </c>
      <c r="AB12" s="163" t="s">
        <v>159</v>
      </c>
      <c r="AC12" s="192">
        <v>3777</v>
      </c>
      <c r="AD12" s="192">
        <f>AC12/xRates!$U$43</f>
        <v>606.50451543733709</v>
      </c>
      <c r="AE12" s="192" t="str">
        <f t="shared" si="11"/>
        <v>No</v>
      </c>
      <c r="AF12" s="192">
        <f t="shared" si="2"/>
        <v>8016.4314350000004</v>
      </c>
      <c r="AG12" s="159" t="str">
        <f t="shared" si="12"/>
        <v>Cost-effective</v>
      </c>
      <c r="AH12" s="159" t="str">
        <f t="shared" si="13"/>
        <v>Cost-effective</v>
      </c>
      <c r="AI12" s="198">
        <f t="shared" si="14"/>
        <v>7.5657668921026211E-2</v>
      </c>
      <c r="AJ12" s="198">
        <f t="shared" si="3"/>
        <v>0.71</v>
      </c>
      <c r="AK12" s="159" t="str">
        <f t="shared" si="15"/>
        <v>Cost-effective</v>
      </c>
      <c r="AL12" s="198">
        <f t="shared" si="4"/>
        <v>0.45</v>
      </c>
      <c r="AM12" s="162" t="str">
        <f t="shared" si="16"/>
        <v>Cost-effective</v>
      </c>
      <c r="AN12" s="198">
        <f t="shared" si="5"/>
        <v>0.6481168977852142</v>
      </c>
      <c r="AO12" s="159" t="str">
        <f t="shared" si="17"/>
        <v>Cost-effective</v>
      </c>
      <c r="AP12" s="198">
        <f t="shared" si="6"/>
        <v>0.16395220864852342</v>
      </c>
      <c r="AQ12" s="159" t="str">
        <f t="shared" si="18"/>
        <v>Cost-effective</v>
      </c>
      <c r="AR12" s="198">
        <f t="shared" si="7"/>
        <v>0.90271550536772804</v>
      </c>
      <c r="AS12" s="159" t="str">
        <f t="shared" si="19"/>
        <v>Cost-effective</v>
      </c>
      <c r="AT12" s="198">
        <f t="shared" si="8"/>
        <v>0.37411874444365267</v>
      </c>
      <c r="AU12" s="159" t="str">
        <f t="shared" si="20"/>
        <v>Cost-effective</v>
      </c>
      <c r="AV12" s="162" t="s">
        <v>202</v>
      </c>
      <c r="AW12" s="162" t="s">
        <v>1995</v>
      </c>
      <c r="AX12" s="168">
        <f t="shared" si="21"/>
        <v>0</v>
      </c>
      <c r="AY12" s="168">
        <f t="shared" si="22"/>
        <v>0</v>
      </c>
      <c r="AZ12" s="163">
        <f t="shared" si="23"/>
        <v>0</v>
      </c>
      <c r="BA12" s="163">
        <f t="shared" si="24"/>
        <v>0</v>
      </c>
      <c r="BB12" s="163">
        <f t="shared" si="25"/>
        <v>0</v>
      </c>
      <c r="BC12" s="163">
        <f t="shared" si="26"/>
        <v>0</v>
      </c>
      <c r="BD12" s="163">
        <f t="shared" si="27"/>
        <v>0</v>
      </c>
      <c r="BE12" s="163" t="s">
        <v>157</v>
      </c>
      <c r="BF12" s="162" t="s">
        <v>1425</v>
      </c>
    </row>
    <row r="13" spans="1:58">
      <c r="A13" s="159">
        <f t="shared" si="9"/>
        <v>6</v>
      </c>
      <c r="B13" s="159">
        <f t="shared" si="10"/>
        <v>1</v>
      </c>
      <c r="C13" s="190" t="str">
        <f t="shared" si="0"/>
        <v>0601</v>
      </c>
      <c r="D13" s="159" t="s">
        <v>207</v>
      </c>
      <c r="E13" s="192">
        <v>2018</v>
      </c>
      <c r="F13" s="162" t="s">
        <v>1927</v>
      </c>
      <c r="G13" s="162" t="s">
        <v>147</v>
      </c>
      <c r="H13" s="163" t="str">
        <f t="shared" si="1"/>
        <v>UM</v>
      </c>
      <c r="I13" s="163" t="s">
        <v>148</v>
      </c>
      <c r="J13" s="162" t="s">
        <v>186</v>
      </c>
      <c r="K13" s="162" t="s">
        <v>151</v>
      </c>
      <c r="L13" s="162" t="s">
        <v>353</v>
      </c>
      <c r="M13" s="162" t="s">
        <v>2014</v>
      </c>
      <c r="N13" s="163" t="s">
        <v>157</v>
      </c>
      <c r="O13" s="164" t="s">
        <v>1979</v>
      </c>
      <c r="P13" s="162" t="s">
        <v>154</v>
      </c>
      <c r="Q13" s="162" t="s">
        <v>155</v>
      </c>
      <c r="R13" s="192">
        <v>2016</v>
      </c>
      <c r="S13" s="194">
        <v>138.72</v>
      </c>
      <c r="T13" s="194">
        <f>IF(ISNUMBER(S13),S13/VLOOKUP($Q13,xRates!$A$1:$AA$267,studies!$R13-xRates!$B$1+2,FALSE),S13)</f>
        <v>138.72</v>
      </c>
      <c r="V13" s="194"/>
      <c r="W13" s="163" t="s">
        <v>157</v>
      </c>
      <c r="X13" s="163" t="s">
        <v>148</v>
      </c>
      <c r="Y13" s="163" t="s">
        <v>148</v>
      </c>
      <c r="Z13" s="163" t="s">
        <v>148</v>
      </c>
      <c r="AA13" s="163" t="s">
        <v>148</v>
      </c>
      <c r="AB13" s="163" t="s">
        <v>159</v>
      </c>
      <c r="AC13" s="192">
        <v>20709</v>
      </c>
      <c r="AD13" s="192">
        <v>20709</v>
      </c>
      <c r="AE13" s="192" t="str">
        <f t="shared" si="11"/>
        <v>No</v>
      </c>
      <c r="AF13" s="192">
        <f t="shared" si="2"/>
        <v>8094.3633669999999</v>
      </c>
      <c r="AG13" s="159" t="str">
        <f t="shared" si="12"/>
        <v>Not cost-effective</v>
      </c>
      <c r="AH13" s="159" t="str">
        <f t="shared" si="13"/>
        <v>Cost-effective</v>
      </c>
      <c r="AI13" s="198">
        <f t="shared" si="14"/>
        <v>2.5584470403724096</v>
      </c>
      <c r="AJ13" s="198">
        <f t="shared" si="3"/>
        <v>0.71</v>
      </c>
      <c r="AK13" s="159" t="str">
        <f t="shared" si="15"/>
        <v>Not cost-effective</v>
      </c>
      <c r="AL13" s="198">
        <f t="shared" si="4"/>
        <v>0.45</v>
      </c>
      <c r="AM13" s="162" t="str">
        <f t="shared" si="16"/>
        <v>Not cost-effective</v>
      </c>
      <c r="AN13" s="198">
        <f t="shared" si="5"/>
        <v>0.6481168977852142</v>
      </c>
      <c r="AO13" s="159" t="str">
        <f t="shared" si="17"/>
        <v>Not cost-effective</v>
      </c>
      <c r="AP13" s="198">
        <f t="shared" si="6"/>
        <v>0.16395220864852342</v>
      </c>
      <c r="AQ13" s="159" t="str">
        <f t="shared" si="18"/>
        <v>Not cost-effective</v>
      </c>
      <c r="AR13" s="198">
        <f t="shared" si="7"/>
        <v>0.90271550536772804</v>
      </c>
      <c r="AS13" s="159" t="str">
        <f t="shared" si="19"/>
        <v>Not cost-effective</v>
      </c>
      <c r="AT13" s="198">
        <f t="shared" si="8"/>
        <v>0.37411874444365267</v>
      </c>
      <c r="AU13" s="159" t="str">
        <f t="shared" si="20"/>
        <v>Not cost-effective</v>
      </c>
      <c r="AV13" s="162" t="s">
        <v>210</v>
      </c>
      <c r="AW13" s="162" t="s">
        <v>1995</v>
      </c>
      <c r="AX13" s="168">
        <f t="shared" si="21"/>
        <v>1</v>
      </c>
      <c r="AY13" s="168">
        <f t="shared" si="22"/>
        <v>1</v>
      </c>
      <c r="AZ13" s="163">
        <f t="shared" si="23"/>
        <v>1</v>
      </c>
      <c r="BA13" s="163">
        <f t="shared" si="24"/>
        <v>1</v>
      </c>
      <c r="BB13" s="163">
        <f t="shared" si="25"/>
        <v>1</v>
      </c>
      <c r="BC13" s="163">
        <f t="shared" si="26"/>
        <v>1</v>
      </c>
      <c r="BD13" s="163">
        <f t="shared" si="27"/>
        <v>6</v>
      </c>
      <c r="BE13" s="163" t="s">
        <v>157</v>
      </c>
      <c r="BF13" s="162" t="s">
        <v>1427</v>
      </c>
    </row>
    <row r="14" spans="1:58">
      <c r="A14" s="159">
        <f t="shared" si="9"/>
        <v>6</v>
      </c>
      <c r="B14" s="159">
        <f t="shared" si="10"/>
        <v>2</v>
      </c>
      <c r="C14" s="190" t="str">
        <f t="shared" si="0"/>
        <v>0602</v>
      </c>
      <c r="D14" s="159" t="s">
        <v>207</v>
      </c>
      <c r="E14" s="192">
        <v>2018</v>
      </c>
      <c r="F14" s="162" t="s">
        <v>1927</v>
      </c>
      <c r="G14" s="162" t="s">
        <v>147</v>
      </c>
      <c r="H14" s="163" t="str">
        <f t="shared" si="1"/>
        <v>UM</v>
      </c>
      <c r="I14" s="163" t="s">
        <v>148</v>
      </c>
      <c r="J14" s="162" t="s">
        <v>186</v>
      </c>
      <c r="K14" s="162" t="s">
        <v>151</v>
      </c>
      <c r="L14" s="162" t="s">
        <v>353</v>
      </c>
      <c r="M14" s="162" t="s">
        <v>2014</v>
      </c>
      <c r="N14" s="163" t="s">
        <v>148</v>
      </c>
      <c r="O14" s="164" t="s">
        <v>153</v>
      </c>
      <c r="P14" s="162" t="s">
        <v>154</v>
      </c>
      <c r="Q14" s="162" t="s">
        <v>155</v>
      </c>
      <c r="R14" s="192">
        <v>2016</v>
      </c>
      <c r="S14" s="194">
        <v>138.72</v>
      </c>
      <c r="T14" s="194">
        <f>IF(ISNUMBER(S14),S14/VLOOKUP($Q14,xRates!$A$1:$AA$267,studies!$R14-xRates!$B$1+2,FALSE),S14)</f>
        <v>138.72</v>
      </c>
      <c r="V14" s="194"/>
      <c r="W14" s="163" t="s">
        <v>157</v>
      </c>
      <c r="X14" s="163" t="s">
        <v>148</v>
      </c>
      <c r="Y14" s="163" t="s">
        <v>148</v>
      </c>
      <c r="Z14" s="163" t="s">
        <v>148</v>
      </c>
      <c r="AA14" s="163" t="s">
        <v>148</v>
      </c>
      <c r="AB14" s="163" t="s">
        <v>159</v>
      </c>
      <c r="AC14" s="192">
        <v>18483</v>
      </c>
      <c r="AD14" s="192">
        <v>18483</v>
      </c>
      <c r="AE14" s="192" t="str">
        <f t="shared" si="11"/>
        <v>No</v>
      </c>
      <c r="AF14" s="192">
        <f t="shared" si="2"/>
        <v>8094.3633669999999</v>
      </c>
      <c r="AG14" s="159" t="str">
        <f t="shared" si="12"/>
        <v>Not cost-effective</v>
      </c>
      <c r="AH14" s="159" t="str">
        <f t="shared" si="13"/>
        <v>Cost-effective</v>
      </c>
      <c r="AI14" s="198">
        <f t="shared" si="14"/>
        <v>2.2834408540829223</v>
      </c>
      <c r="AJ14" s="198">
        <f t="shared" si="3"/>
        <v>0.71</v>
      </c>
      <c r="AK14" s="159" t="str">
        <f t="shared" si="15"/>
        <v>Not cost-effective</v>
      </c>
      <c r="AL14" s="198">
        <f t="shared" si="4"/>
        <v>0.45</v>
      </c>
      <c r="AM14" s="162" t="str">
        <f t="shared" si="16"/>
        <v>Not cost-effective</v>
      </c>
      <c r="AN14" s="198">
        <f t="shared" si="5"/>
        <v>0.6481168977852142</v>
      </c>
      <c r="AO14" s="159" t="str">
        <f t="shared" si="17"/>
        <v>Not cost-effective</v>
      </c>
      <c r="AP14" s="198">
        <f t="shared" si="6"/>
        <v>0.16395220864852342</v>
      </c>
      <c r="AQ14" s="159" t="str">
        <f t="shared" si="18"/>
        <v>Not cost-effective</v>
      </c>
      <c r="AR14" s="198">
        <f t="shared" si="7"/>
        <v>0.90271550536772804</v>
      </c>
      <c r="AS14" s="159" t="str">
        <f t="shared" si="19"/>
        <v>Not cost-effective</v>
      </c>
      <c r="AT14" s="198">
        <f t="shared" si="8"/>
        <v>0.37411874444365267</v>
      </c>
      <c r="AU14" s="159" t="str">
        <f t="shared" si="20"/>
        <v>Not cost-effective</v>
      </c>
      <c r="AV14" s="162" t="s">
        <v>210</v>
      </c>
      <c r="AW14" s="162" t="s">
        <v>1995</v>
      </c>
      <c r="AX14" s="168">
        <f t="shared" si="21"/>
        <v>1</v>
      </c>
      <c r="AY14" s="168">
        <f t="shared" si="22"/>
        <v>1</v>
      </c>
      <c r="AZ14" s="163">
        <f t="shared" si="23"/>
        <v>1</v>
      </c>
      <c r="BA14" s="163">
        <f t="shared" si="24"/>
        <v>1</v>
      </c>
      <c r="BB14" s="163">
        <f t="shared" si="25"/>
        <v>1</v>
      </c>
      <c r="BC14" s="163">
        <f t="shared" si="26"/>
        <v>1</v>
      </c>
      <c r="BD14" s="163">
        <f t="shared" si="27"/>
        <v>6</v>
      </c>
      <c r="BE14" s="163" t="s">
        <v>157</v>
      </c>
      <c r="BF14" s="162" t="s">
        <v>1427</v>
      </c>
    </row>
    <row r="15" spans="1:58">
      <c r="A15" s="159">
        <f t="shared" si="9"/>
        <v>7</v>
      </c>
      <c r="B15" s="159">
        <f t="shared" si="10"/>
        <v>1</v>
      </c>
      <c r="C15" s="190" t="str">
        <f t="shared" si="0"/>
        <v>0701</v>
      </c>
      <c r="D15" s="159" t="s">
        <v>212</v>
      </c>
      <c r="E15" s="192">
        <v>2011</v>
      </c>
      <c r="F15" s="162" t="s">
        <v>1928</v>
      </c>
      <c r="G15" s="162" t="s">
        <v>214</v>
      </c>
      <c r="H15" s="163" t="str">
        <f t="shared" si="1"/>
        <v>UM</v>
      </c>
      <c r="I15" s="163" t="s">
        <v>148</v>
      </c>
      <c r="J15" s="162" t="s">
        <v>150</v>
      </c>
      <c r="K15" s="162" t="s">
        <v>151</v>
      </c>
      <c r="L15" s="162" t="s">
        <v>149</v>
      </c>
      <c r="M15" s="162" t="s">
        <v>2014</v>
      </c>
      <c r="N15" s="163" t="s">
        <v>148</v>
      </c>
      <c r="O15" s="164" t="s">
        <v>1979</v>
      </c>
      <c r="P15" s="162" t="s">
        <v>215</v>
      </c>
      <c r="Q15" s="162" t="s">
        <v>214</v>
      </c>
      <c r="R15" s="192">
        <v>2007</v>
      </c>
      <c r="S15" s="194">
        <v>222</v>
      </c>
      <c r="T15" s="194">
        <f>IF(ISNUMBER(S15),S15/VLOOKUP($Q15,xRates!$A$1:$AA$267,studies!$R15-xRates!$B$1+2,FALSE),S15)</f>
        <v>64.580514693172105</v>
      </c>
      <c r="V15" s="194"/>
      <c r="W15" s="163" t="s">
        <v>148</v>
      </c>
      <c r="X15" s="163" t="s">
        <v>157</v>
      </c>
      <c r="Y15" s="163" t="s">
        <v>148</v>
      </c>
      <c r="Z15" s="163" t="s">
        <v>148</v>
      </c>
      <c r="AA15" s="163" t="s">
        <v>148</v>
      </c>
      <c r="AB15" s="163" t="s">
        <v>159</v>
      </c>
      <c r="AC15" s="192">
        <v>35196</v>
      </c>
      <c r="AD15" s="192">
        <f>AC15/xRates!M122</f>
        <v>10238.629707841827</v>
      </c>
      <c r="AE15" s="192" t="str">
        <f t="shared" si="11"/>
        <v>No</v>
      </c>
      <c r="AF15" s="192">
        <f t="shared" si="2"/>
        <v>7243.4568010000003</v>
      </c>
      <c r="AG15" s="159" t="str">
        <f t="shared" si="12"/>
        <v>Not cost-effective</v>
      </c>
      <c r="AH15" s="159" t="str">
        <f t="shared" si="13"/>
        <v>Cost-effective</v>
      </c>
      <c r="AI15" s="198">
        <f t="shared" si="14"/>
        <v>1.4135004859045097</v>
      </c>
      <c r="AJ15" s="198">
        <f t="shared" si="3"/>
        <v>0.75</v>
      </c>
      <c r="AK15" s="159" t="str">
        <f t="shared" si="15"/>
        <v>Not cost-effective</v>
      </c>
      <c r="AL15" s="198">
        <f t="shared" si="4"/>
        <v>0.45</v>
      </c>
      <c r="AM15" s="162" t="str">
        <f t="shared" si="16"/>
        <v>Not cost-effective</v>
      </c>
      <c r="AN15" s="198">
        <f t="shared" si="5"/>
        <v>0.56444312933505247</v>
      </c>
      <c r="AO15" s="159" t="str">
        <f t="shared" si="17"/>
        <v>Not cost-effective</v>
      </c>
      <c r="AP15" s="198">
        <f t="shared" si="6"/>
        <v>0.31731694657870113</v>
      </c>
      <c r="AQ15" s="159" t="str">
        <f t="shared" si="18"/>
        <v>Not cost-effective</v>
      </c>
      <c r="AR15" s="198">
        <f t="shared" si="7"/>
        <v>0.6686887394303227</v>
      </c>
      <c r="AS15" s="159" t="str">
        <f t="shared" si="19"/>
        <v>Not cost-effective</v>
      </c>
      <c r="AT15" s="198">
        <f t="shared" si="8"/>
        <v>0.2771843839443679</v>
      </c>
      <c r="AU15" s="159" t="str">
        <f t="shared" si="20"/>
        <v>Not cost-effective</v>
      </c>
      <c r="AV15" s="162" t="s">
        <v>173</v>
      </c>
      <c r="AW15" s="162" t="s">
        <v>1995</v>
      </c>
      <c r="AX15" s="168">
        <f t="shared" si="21"/>
        <v>1</v>
      </c>
      <c r="AY15" s="168">
        <f t="shared" si="22"/>
        <v>1</v>
      </c>
      <c r="AZ15" s="163">
        <f t="shared" si="23"/>
        <v>1</v>
      </c>
      <c r="BA15" s="163">
        <f t="shared" si="24"/>
        <v>1</v>
      </c>
      <c r="BB15" s="163">
        <f t="shared" si="25"/>
        <v>1</v>
      </c>
      <c r="BC15" s="163">
        <f t="shared" si="26"/>
        <v>1</v>
      </c>
      <c r="BD15" s="163">
        <f t="shared" si="27"/>
        <v>6</v>
      </c>
      <c r="BE15" s="163" t="s">
        <v>157</v>
      </c>
      <c r="BF15" s="162" t="s">
        <v>1425</v>
      </c>
    </row>
    <row r="16" spans="1:58">
      <c r="A16" s="159">
        <f t="shared" si="9"/>
        <v>8</v>
      </c>
      <c r="B16" s="159">
        <f t="shared" si="10"/>
        <v>1</v>
      </c>
      <c r="C16" s="190" t="str">
        <f t="shared" si="0"/>
        <v>0801</v>
      </c>
      <c r="D16" s="159" t="s">
        <v>212</v>
      </c>
      <c r="E16" s="192">
        <v>2014</v>
      </c>
      <c r="F16" s="162" t="s">
        <v>1929</v>
      </c>
      <c r="G16" s="162" t="s">
        <v>214</v>
      </c>
      <c r="H16" s="163" t="str">
        <f t="shared" si="1"/>
        <v>UM</v>
      </c>
      <c r="I16" s="163" t="s">
        <v>148</v>
      </c>
      <c r="J16" s="162" t="s">
        <v>183</v>
      </c>
      <c r="K16" s="162" t="s">
        <v>151</v>
      </c>
      <c r="L16" s="162" t="s">
        <v>352</v>
      </c>
      <c r="M16" s="162" t="s">
        <v>2014</v>
      </c>
      <c r="N16" s="163" t="s">
        <v>148</v>
      </c>
      <c r="O16" s="164" t="s">
        <v>1979</v>
      </c>
      <c r="P16" s="162" t="s">
        <v>154</v>
      </c>
      <c r="Q16" s="162" t="s">
        <v>155</v>
      </c>
      <c r="R16" s="192">
        <v>2010</v>
      </c>
      <c r="S16" s="194"/>
      <c r="T16" s="194"/>
      <c r="V16" s="194"/>
      <c r="W16" s="163" t="s">
        <v>148</v>
      </c>
      <c r="X16" s="163" t="s">
        <v>157</v>
      </c>
      <c r="Y16" s="163" t="s">
        <v>148</v>
      </c>
      <c r="Z16" s="163" t="s">
        <v>148</v>
      </c>
      <c r="AA16" s="163" t="s">
        <v>148</v>
      </c>
      <c r="AB16" s="163" t="s">
        <v>159</v>
      </c>
      <c r="AC16" s="192">
        <v>9406</v>
      </c>
      <c r="AD16" s="192">
        <v>9046</v>
      </c>
      <c r="AE16" s="192" t="str">
        <f t="shared" si="11"/>
        <v>No</v>
      </c>
      <c r="AF16" s="192">
        <f t="shared" si="2"/>
        <v>9040.5684949999995</v>
      </c>
      <c r="AG16" s="159" t="str">
        <f t="shared" si="12"/>
        <v>Not cost-effective</v>
      </c>
      <c r="AH16" s="159" t="str">
        <f t="shared" si="13"/>
        <v>Cost-effective</v>
      </c>
      <c r="AI16" s="198">
        <f t="shared" si="14"/>
        <v>1.0006007924173137</v>
      </c>
      <c r="AJ16" s="198">
        <f t="shared" si="3"/>
        <v>0.75</v>
      </c>
      <c r="AK16" s="159" t="str">
        <f t="shared" si="15"/>
        <v>Not cost-effective</v>
      </c>
      <c r="AL16" s="198">
        <f t="shared" si="4"/>
        <v>0.45</v>
      </c>
      <c r="AM16" s="162" t="str">
        <f t="shared" si="16"/>
        <v>Not cost-effective</v>
      </c>
      <c r="AN16" s="198">
        <f t="shared" si="5"/>
        <v>0.56444312933505247</v>
      </c>
      <c r="AO16" s="159" t="str">
        <f t="shared" si="17"/>
        <v>Not cost-effective</v>
      </c>
      <c r="AP16" s="198">
        <f t="shared" si="6"/>
        <v>0.31731694657870113</v>
      </c>
      <c r="AQ16" s="159" t="str">
        <f t="shared" si="18"/>
        <v>Not cost-effective</v>
      </c>
      <c r="AR16" s="198">
        <f t="shared" si="7"/>
        <v>0.6686887394303227</v>
      </c>
      <c r="AS16" s="159" t="str">
        <f t="shared" si="19"/>
        <v>Not cost-effective</v>
      </c>
      <c r="AT16" s="198">
        <f t="shared" si="8"/>
        <v>0.2771843839443679</v>
      </c>
      <c r="AU16" s="159" t="str">
        <f t="shared" si="20"/>
        <v>Not cost-effective</v>
      </c>
      <c r="AV16" s="162" t="s">
        <v>173</v>
      </c>
      <c r="AW16" s="162" t="s">
        <v>1995</v>
      </c>
      <c r="AX16" s="168">
        <f t="shared" si="21"/>
        <v>1</v>
      </c>
      <c r="AY16" s="168">
        <f t="shared" si="22"/>
        <v>1</v>
      </c>
      <c r="AZ16" s="163">
        <f t="shared" si="23"/>
        <v>1</v>
      </c>
      <c r="BA16" s="163">
        <f t="shared" si="24"/>
        <v>1</v>
      </c>
      <c r="BB16" s="163">
        <f t="shared" si="25"/>
        <v>1</v>
      </c>
      <c r="BC16" s="163">
        <f t="shared" si="26"/>
        <v>1</v>
      </c>
      <c r="BD16" s="163">
        <f t="shared" si="27"/>
        <v>6</v>
      </c>
      <c r="BE16" s="163" t="s">
        <v>157</v>
      </c>
      <c r="BF16" s="162" t="s">
        <v>1425</v>
      </c>
    </row>
    <row r="17" spans="1:58" s="173" customFormat="1">
      <c r="A17" s="159">
        <f t="shared" si="9"/>
        <v>8</v>
      </c>
      <c r="B17" s="159">
        <f t="shared" si="10"/>
        <v>2</v>
      </c>
      <c r="C17" s="191" t="str">
        <f t="shared" si="0"/>
        <v>0802</v>
      </c>
      <c r="D17" s="171" t="s">
        <v>212</v>
      </c>
      <c r="E17" s="193">
        <v>2014</v>
      </c>
      <c r="F17" s="162" t="s">
        <v>1929</v>
      </c>
      <c r="G17" s="173" t="s">
        <v>214</v>
      </c>
      <c r="H17" s="174" t="str">
        <f t="shared" si="1"/>
        <v>UM</v>
      </c>
      <c r="I17" s="174" t="s">
        <v>148</v>
      </c>
      <c r="J17" s="173" t="s">
        <v>186</v>
      </c>
      <c r="K17" s="173" t="s">
        <v>183</v>
      </c>
      <c r="L17" s="162" t="s">
        <v>371</v>
      </c>
      <c r="M17" s="173" t="s">
        <v>2014</v>
      </c>
      <c r="N17" s="174" t="s">
        <v>148</v>
      </c>
      <c r="O17" s="175" t="s">
        <v>1979</v>
      </c>
      <c r="P17" s="173" t="s">
        <v>154</v>
      </c>
      <c r="Q17" s="173" t="s">
        <v>155</v>
      </c>
      <c r="R17" s="193">
        <v>2010</v>
      </c>
      <c r="S17" s="197"/>
      <c r="T17" s="197"/>
      <c r="U17" s="163"/>
      <c r="V17" s="197"/>
      <c r="W17" s="174" t="s">
        <v>148</v>
      </c>
      <c r="X17" s="174" t="s">
        <v>157</v>
      </c>
      <c r="Y17" s="174" t="s">
        <v>148</v>
      </c>
      <c r="Z17" s="174" t="s">
        <v>148</v>
      </c>
      <c r="AA17" s="174" t="s">
        <v>148</v>
      </c>
      <c r="AB17" s="163" t="s">
        <v>159</v>
      </c>
      <c r="AC17" s="193">
        <v>61061.49</v>
      </c>
      <c r="AD17" s="193">
        <f>AC17</f>
        <v>61061.49</v>
      </c>
      <c r="AE17" s="192" t="str">
        <f t="shared" si="11"/>
        <v>No</v>
      </c>
      <c r="AF17" s="193">
        <f t="shared" si="2"/>
        <v>9040.5684949999995</v>
      </c>
      <c r="AG17" s="159" t="str">
        <f t="shared" si="12"/>
        <v>Not cost-effective</v>
      </c>
      <c r="AH17" s="159" t="str">
        <f t="shared" si="13"/>
        <v>Not cost-effective</v>
      </c>
      <c r="AI17" s="198">
        <f t="shared" si="14"/>
        <v>6.7541648552047171</v>
      </c>
      <c r="AJ17" s="198">
        <f t="shared" si="3"/>
        <v>0.75</v>
      </c>
      <c r="AK17" s="159" t="str">
        <f t="shared" si="15"/>
        <v>Not cost-effective</v>
      </c>
      <c r="AL17" s="198">
        <f t="shared" si="4"/>
        <v>0.45</v>
      </c>
      <c r="AM17" s="162" t="str">
        <f t="shared" si="16"/>
        <v>Not cost-effective</v>
      </c>
      <c r="AN17" s="198">
        <f t="shared" si="5"/>
        <v>0.56444312933505247</v>
      </c>
      <c r="AO17" s="159" t="str">
        <f t="shared" si="17"/>
        <v>Not cost-effective</v>
      </c>
      <c r="AP17" s="198">
        <f t="shared" si="6"/>
        <v>0.31731694657870113</v>
      </c>
      <c r="AQ17" s="159" t="str">
        <f t="shared" si="18"/>
        <v>Not cost-effective</v>
      </c>
      <c r="AR17" s="198">
        <f t="shared" si="7"/>
        <v>0.6686887394303227</v>
      </c>
      <c r="AS17" s="159" t="str">
        <f t="shared" si="19"/>
        <v>Not cost-effective</v>
      </c>
      <c r="AT17" s="198">
        <f t="shared" si="8"/>
        <v>0.2771843839443679</v>
      </c>
      <c r="AU17" s="159" t="str">
        <f t="shared" si="20"/>
        <v>Not cost-effective</v>
      </c>
      <c r="AV17" s="173" t="s">
        <v>173</v>
      </c>
      <c r="AW17" s="173" t="s">
        <v>1993</v>
      </c>
      <c r="AX17" s="168" t="str">
        <f t="shared" si="21"/>
        <v/>
      </c>
      <c r="AY17" s="168" t="str">
        <f t="shared" si="22"/>
        <v/>
      </c>
      <c r="AZ17" s="163" t="str">
        <f t="shared" si="23"/>
        <v/>
      </c>
      <c r="BA17" s="163" t="str">
        <f t="shared" si="24"/>
        <v/>
      </c>
      <c r="BB17" s="163" t="str">
        <f t="shared" si="25"/>
        <v/>
      </c>
      <c r="BC17" s="163" t="str">
        <f t="shared" si="26"/>
        <v/>
      </c>
      <c r="BD17" s="163">
        <f t="shared" si="27"/>
        <v>0</v>
      </c>
      <c r="BE17" s="174" t="s">
        <v>157</v>
      </c>
      <c r="BF17" s="162" t="s">
        <v>1425</v>
      </c>
    </row>
    <row r="18" spans="1:58">
      <c r="A18" s="159">
        <f t="shared" si="9"/>
        <v>9</v>
      </c>
      <c r="B18" s="159">
        <f t="shared" si="10"/>
        <v>1</v>
      </c>
      <c r="C18" s="190" t="str">
        <f t="shared" si="0"/>
        <v>0901</v>
      </c>
      <c r="D18" s="159" t="s">
        <v>83</v>
      </c>
      <c r="E18" s="192">
        <v>2017</v>
      </c>
      <c r="F18" s="162" t="s">
        <v>1930</v>
      </c>
      <c r="G18" s="162" t="s">
        <v>214</v>
      </c>
      <c r="H18" s="163" t="str">
        <f t="shared" si="1"/>
        <v>UM</v>
      </c>
      <c r="I18" s="163" t="s">
        <v>148</v>
      </c>
      <c r="J18" s="162" t="s">
        <v>183</v>
      </c>
      <c r="K18" s="162" t="s">
        <v>151</v>
      </c>
      <c r="L18" s="162" t="s">
        <v>352</v>
      </c>
      <c r="M18" s="162" t="s">
        <v>2013</v>
      </c>
      <c r="N18" s="163" t="s">
        <v>148</v>
      </c>
      <c r="O18" s="164" t="s">
        <v>1979</v>
      </c>
      <c r="P18" s="162" t="s">
        <v>154</v>
      </c>
      <c r="Q18" s="162" t="s">
        <v>155</v>
      </c>
      <c r="R18" s="192">
        <v>2014</v>
      </c>
      <c r="S18" s="194">
        <v>34.25</v>
      </c>
      <c r="T18" s="194">
        <f>IF(ISNUMBER(S18),S18/VLOOKUP($Q18,xRates!$A$1:$AA$267,studies!$R18-xRates!$B$1+2,FALSE),S18)</f>
        <v>34.25</v>
      </c>
      <c r="V18" s="194"/>
      <c r="W18" s="163" t="s">
        <v>157</v>
      </c>
      <c r="X18" s="163" t="s">
        <v>157</v>
      </c>
      <c r="Y18" s="163" t="s">
        <v>148</v>
      </c>
      <c r="Z18" s="163" t="s">
        <v>148</v>
      </c>
      <c r="AA18" s="163" t="s">
        <v>148</v>
      </c>
      <c r="AB18" s="163" t="s">
        <v>159</v>
      </c>
      <c r="AC18" s="192">
        <v>28497</v>
      </c>
      <c r="AD18" s="192">
        <v>28497</v>
      </c>
      <c r="AE18" s="192" t="str">
        <f t="shared" si="11"/>
        <v>No</v>
      </c>
      <c r="AF18" s="192">
        <f t="shared" si="2"/>
        <v>11319.06194</v>
      </c>
      <c r="AG18" s="159" t="str">
        <f t="shared" si="12"/>
        <v>Not cost-effective</v>
      </c>
      <c r="AH18" s="159" t="str">
        <f t="shared" si="13"/>
        <v>Cost-effective</v>
      </c>
      <c r="AI18" s="198">
        <f t="shared" si="14"/>
        <v>2.5176114550001305</v>
      </c>
      <c r="AJ18" s="198">
        <f t="shared" si="3"/>
        <v>0.75</v>
      </c>
      <c r="AK18" s="159" t="str">
        <f t="shared" si="15"/>
        <v>Not cost-effective</v>
      </c>
      <c r="AL18" s="198">
        <f t="shared" si="4"/>
        <v>0.45</v>
      </c>
      <c r="AM18" s="162" t="str">
        <f t="shared" si="16"/>
        <v>Not cost-effective</v>
      </c>
      <c r="AN18" s="198">
        <f t="shared" si="5"/>
        <v>0.56444312933505247</v>
      </c>
      <c r="AO18" s="159" t="str">
        <f t="shared" si="17"/>
        <v>Not cost-effective</v>
      </c>
      <c r="AP18" s="198">
        <f t="shared" si="6"/>
        <v>0.31731694657870113</v>
      </c>
      <c r="AQ18" s="159" t="str">
        <f t="shared" si="18"/>
        <v>Not cost-effective</v>
      </c>
      <c r="AR18" s="198">
        <f t="shared" si="7"/>
        <v>0.6686887394303227</v>
      </c>
      <c r="AS18" s="159" t="str">
        <f t="shared" si="19"/>
        <v>Not cost-effective</v>
      </c>
      <c r="AT18" s="198">
        <f t="shared" si="8"/>
        <v>0.2771843839443679</v>
      </c>
      <c r="AU18" s="159" t="str">
        <f t="shared" si="20"/>
        <v>Not cost-effective</v>
      </c>
      <c r="AV18" s="162" t="s">
        <v>173</v>
      </c>
      <c r="AW18" s="162" t="s">
        <v>1995</v>
      </c>
      <c r="AX18" s="168">
        <f t="shared" si="21"/>
        <v>1</v>
      </c>
      <c r="AY18" s="168">
        <f t="shared" si="22"/>
        <v>1</v>
      </c>
      <c r="AZ18" s="163">
        <f t="shared" si="23"/>
        <v>1</v>
      </c>
      <c r="BA18" s="163">
        <f t="shared" si="24"/>
        <v>1</v>
      </c>
      <c r="BB18" s="163">
        <f t="shared" si="25"/>
        <v>1</v>
      </c>
      <c r="BC18" s="163">
        <f t="shared" si="26"/>
        <v>1</v>
      </c>
      <c r="BD18" s="163">
        <f t="shared" si="27"/>
        <v>6</v>
      </c>
      <c r="BE18" s="163" t="s">
        <v>157</v>
      </c>
      <c r="BF18" s="162" t="s">
        <v>1425</v>
      </c>
    </row>
    <row r="19" spans="1:58" s="173" customFormat="1">
      <c r="A19" s="159">
        <f t="shared" si="9"/>
        <v>9</v>
      </c>
      <c r="B19" s="159">
        <f t="shared" si="10"/>
        <v>2</v>
      </c>
      <c r="C19" s="191" t="str">
        <f t="shared" si="0"/>
        <v>0902</v>
      </c>
      <c r="D19" s="171" t="s">
        <v>83</v>
      </c>
      <c r="E19" s="193">
        <v>2017</v>
      </c>
      <c r="F19" s="162" t="s">
        <v>1930</v>
      </c>
      <c r="G19" s="173" t="s">
        <v>214</v>
      </c>
      <c r="H19" s="174" t="str">
        <f t="shared" si="1"/>
        <v>UM</v>
      </c>
      <c r="I19" s="174" t="s">
        <v>148</v>
      </c>
      <c r="J19" s="173" t="s">
        <v>186</v>
      </c>
      <c r="K19" s="173" t="s">
        <v>183</v>
      </c>
      <c r="L19" s="162" t="s">
        <v>371</v>
      </c>
      <c r="M19" s="173" t="s">
        <v>2013</v>
      </c>
      <c r="N19" s="174" t="s">
        <v>157</v>
      </c>
      <c r="O19" s="175" t="s">
        <v>1979</v>
      </c>
      <c r="P19" s="173" t="s">
        <v>154</v>
      </c>
      <c r="Q19" s="173" t="s">
        <v>155</v>
      </c>
      <c r="R19" s="193">
        <v>2014</v>
      </c>
      <c r="S19" s="197">
        <v>34.25</v>
      </c>
      <c r="T19" s="197">
        <f>IF(ISNUMBER(S19),S19/VLOOKUP($Q19,xRates!$A$1:$AA$267,studies!$R19-xRates!$B$1+2,FALSE),S19)</f>
        <v>34.25</v>
      </c>
      <c r="U19" s="174">
        <v>34.25</v>
      </c>
      <c r="V19" s="197">
        <v>34.25</v>
      </c>
      <c r="W19" s="174" t="s">
        <v>157</v>
      </c>
      <c r="X19" s="174" t="s">
        <v>157</v>
      </c>
      <c r="Y19" s="174" t="s">
        <v>148</v>
      </c>
      <c r="Z19" s="174" t="s">
        <v>148</v>
      </c>
      <c r="AA19" s="174" t="s">
        <v>148</v>
      </c>
      <c r="AB19" s="163" t="s">
        <v>159</v>
      </c>
      <c r="AC19" s="193">
        <v>44907.6</v>
      </c>
      <c r="AD19" s="193">
        <f>AC19</f>
        <v>44907.6</v>
      </c>
      <c r="AE19" s="192" t="str">
        <f t="shared" si="11"/>
        <v>No</v>
      </c>
      <c r="AF19" s="193">
        <f t="shared" si="2"/>
        <v>11319.06194</v>
      </c>
      <c r="AG19" s="159" t="str">
        <f t="shared" si="12"/>
        <v>Not cost-effective</v>
      </c>
      <c r="AH19" s="159" t="str">
        <f t="shared" si="13"/>
        <v>Not cost-effective</v>
      </c>
      <c r="AI19" s="198">
        <f t="shared" si="14"/>
        <v>3.9674312445718449</v>
      </c>
      <c r="AJ19" s="198">
        <f t="shared" si="3"/>
        <v>0.75</v>
      </c>
      <c r="AK19" s="159" t="str">
        <f t="shared" si="15"/>
        <v>Not cost-effective</v>
      </c>
      <c r="AL19" s="198">
        <f t="shared" si="4"/>
        <v>0.45</v>
      </c>
      <c r="AM19" s="162" t="str">
        <f t="shared" si="16"/>
        <v>Not cost-effective</v>
      </c>
      <c r="AN19" s="198">
        <f t="shared" si="5"/>
        <v>0.56444312933505247</v>
      </c>
      <c r="AO19" s="159" t="str">
        <f t="shared" si="17"/>
        <v>Not cost-effective</v>
      </c>
      <c r="AP19" s="198">
        <f t="shared" si="6"/>
        <v>0.31731694657870113</v>
      </c>
      <c r="AQ19" s="159" t="str">
        <f t="shared" si="18"/>
        <v>Not cost-effective</v>
      </c>
      <c r="AR19" s="198">
        <f t="shared" si="7"/>
        <v>0.6686887394303227</v>
      </c>
      <c r="AS19" s="159" t="str">
        <f t="shared" si="19"/>
        <v>Not cost-effective</v>
      </c>
      <c r="AT19" s="198">
        <f t="shared" si="8"/>
        <v>0.2771843839443679</v>
      </c>
      <c r="AU19" s="159" t="str">
        <f t="shared" si="20"/>
        <v>Not cost-effective</v>
      </c>
      <c r="AV19" s="173" t="s">
        <v>173</v>
      </c>
      <c r="AW19" s="173" t="s">
        <v>1993</v>
      </c>
      <c r="AX19" s="168" t="str">
        <f t="shared" si="21"/>
        <v/>
      </c>
      <c r="AY19" s="168" t="str">
        <f t="shared" si="22"/>
        <v/>
      </c>
      <c r="AZ19" s="163" t="str">
        <f t="shared" si="23"/>
        <v/>
      </c>
      <c r="BA19" s="163" t="str">
        <f t="shared" si="24"/>
        <v/>
      </c>
      <c r="BB19" s="163" t="str">
        <f t="shared" si="25"/>
        <v/>
      </c>
      <c r="BC19" s="163" t="str">
        <f t="shared" si="26"/>
        <v/>
      </c>
      <c r="BD19" s="163">
        <f t="shared" si="27"/>
        <v>0</v>
      </c>
      <c r="BE19" s="174" t="s">
        <v>157</v>
      </c>
      <c r="BF19" s="162" t="s">
        <v>1425</v>
      </c>
    </row>
    <row r="20" spans="1:58">
      <c r="A20" s="159">
        <f t="shared" si="9"/>
        <v>10</v>
      </c>
      <c r="B20" s="159">
        <f t="shared" si="10"/>
        <v>1</v>
      </c>
      <c r="C20" s="190" t="str">
        <f t="shared" si="0"/>
        <v>1001</v>
      </c>
      <c r="D20" s="159" t="s">
        <v>229</v>
      </c>
      <c r="E20" s="192">
        <v>2016</v>
      </c>
      <c r="F20" s="162" t="s">
        <v>1931</v>
      </c>
      <c r="G20" s="162" t="s">
        <v>214</v>
      </c>
      <c r="H20" s="163" t="str">
        <f t="shared" si="1"/>
        <v>UM</v>
      </c>
      <c r="I20" s="163" t="s">
        <v>148</v>
      </c>
      <c r="J20" s="162" t="s">
        <v>183</v>
      </c>
      <c r="K20" s="162" t="s">
        <v>151</v>
      </c>
      <c r="L20" s="162" t="s">
        <v>352</v>
      </c>
      <c r="M20" s="162" t="s">
        <v>2014</v>
      </c>
      <c r="N20" s="163" t="s">
        <v>148</v>
      </c>
      <c r="O20" s="164" t="s">
        <v>1979</v>
      </c>
      <c r="P20" s="162" t="s">
        <v>154</v>
      </c>
      <c r="Q20" s="162" t="s">
        <v>155</v>
      </c>
      <c r="R20" s="192">
        <v>2014</v>
      </c>
      <c r="S20" s="194">
        <v>55</v>
      </c>
      <c r="T20" s="194">
        <f>IF(ISNUMBER(S20),S20/VLOOKUP($Q20,xRates!$A$1:$AA$267,studies!$R20-xRates!$B$1+2,FALSE),S20)</f>
        <v>55</v>
      </c>
      <c r="V20" s="194"/>
      <c r="W20" s="163" t="s">
        <v>148</v>
      </c>
      <c r="X20" s="163" t="s">
        <v>157</v>
      </c>
      <c r="Y20" s="163" t="s">
        <v>148</v>
      </c>
      <c r="Z20" s="163" t="s">
        <v>148</v>
      </c>
      <c r="AA20" s="163" t="s">
        <v>148</v>
      </c>
      <c r="AB20" s="163" t="s">
        <v>159</v>
      </c>
      <c r="AC20" s="192">
        <v>21438</v>
      </c>
      <c r="AD20" s="192">
        <v>21438</v>
      </c>
      <c r="AE20" s="192" t="str">
        <f t="shared" si="11"/>
        <v>No</v>
      </c>
      <c r="AF20" s="192">
        <f t="shared" si="2"/>
        <v>11319.06194</v>
      </c>
      <c r="AG20" s="159" t="str">
        <f t="shared" si="12"/>
        <v>Not cost-effective</v>
      </c>
      <c r="AH20" s="159" t="str">
        <f t="shared" si="13"/>
        <v>Cost-effective</v>
      </c>
      <c r="AI20" s="198">
        <f t="shared" si="14"/>
        <v>1.8939732032246481</v>
      </c>
      <c r="AJ20" s="198">
        <f t="shared" si="3"/>
        <v>0.75</v>
      </c>
      <c r="AK20" s="159" t="str">
        <f t="shared" si="15"/>
        <v>Not cost-effective</v>
      </c>
      <c r="AL20" s="198">
        <f t="shared" si="4"/>
        <v>0.45</v>
      </c>
      <c r="AM20" s="162" t="str">
        <f t="shared" si="16"/>
        <v>Not cost-effective</v>
      </c>
      <c r="AN20" s="198">
        <f t="shared" si="5"/>
        <v>0.56444312933505247</v>
      </c>
      <c r="AO20" s="159" t="str">
        <f t="shared" si="17"/>
        <v>Not cost-effective</v>
      </c>
      <c r="AP20" s="198">
        <f t="shared" si="6"/>
        <v>0.31731694657870113</v>
      </c>
      <c r="AQ20" s="159" t="str">
        <f t="shared" si="18"/>
        <v>Not cost-effective</v>
      </c>
      <c r="AR20" s="198">
        <f t="shared" si="7"/>
        <v>0.6686887394303227</v>
      </c>
      <c r="AS20" s="159" t="str">
        <f t="shared" si="19"/>
        <v>Not cost-effective</v>
      </c>
      <c r="AT20" s="198">
        <f t="shared" si="8"/>
        <v>0.2771843839443679</v>
      </c>
      <c r="AU20" s="159" t="str">
        <f t="shared" si="20"/>
        <v>Not cost-effective</v>
      </c>
      <c r="AV20" s="162" t="s">
        <v>210</v>
      </c>
      <c r="AW20" s="162" t="s">
        <v>1993</v>
      </c>
      <c r="AX20" s="168" t="str">
        <f t="shared" si="21"/>
        <v/>
      </c>
      <c r="AY20" s="168" t="str">
        <f t="shared" si="22"/>
        <v/>
      </c>
      <c r="AZ20" s="163" t="str">
        <f t="shared" si="23"/>
        <v/>
      </c>
      <c r="BA20" s="163" t="str">
        <f t="shared" si="24"/>
        <v/>
      </c>
      <c r="BB20" s="163" t="str">
        <f t="shared" si="25"/>
        <v/>
      </c>
      <c r="BC20" s="163" t="str">
        <f t="shared" si="26"/>
        <v/>
      </c>
      <c r="BD20" s="163">
        <f t="shared" si="27"/>
        <v>0</v>
      </c>
      <c r="BE20" s="163" t="s">
        <v>157</v>
      </c>
      <c r="BF20" s="162" t="s">
        <v>1425</v>
      </c>
    </row>
    <row r="21" spans="1:58">
      <c r="A21" s="159">
        <f t="shared" si="9"/>
        <v>10</v>
      </c>
      <c r="B21" s="159">
        <f t="shared" si="10"/>
        <v>2</v>
      </c>
      <c r="C21" s="190" t="str">
        <f t="shared" si="0"/>
        <v>1002</v>
      </c>
      <c r="D21" s="159" t="s">
        <v>229</v>
      </c>
      <c r="E21" s="192">
        <v>2016</v>
      </c>
      <c r="F21" s="162" t="s">
        <v>1931</v>
      </c>
      <c r="G21" s="162" t="s">
        <v>214</v>
      </c>
      <c r="H21" s="163" t="str">
        <f t="shared" si="1"/>
        <v>UM</v>
      </c>
      <c r="I21" s="163" t="s">
        <v>148</v>
      </c>
      <c r="J21" s="162" t="s">
        <v>183</v>
      </c>
      <c r="K21" s="162" t="s">
        <v>151</v>
      </c>
      <c r="L21" s="162" t="s">
        <v>352</v>
      </c>
      <c r="M21" s="162" t="s">
        <v>2014</v>
      </c>
      <c r="N21" s="163" t="s">
        <v>148</v>
      </c>
      <c r="O21" s="164" t="s">
        <v>153</v>
      </c>
      <c r="P21" s="162" t="s">
        <v>154</v>
      </c>
      <c r="Q21" s="162" t="s">
        <v>155</v>
      </c>
      <c r="R21" s="192">
        <v>2014</v>
      </c>
      <c r="S21" s="194">
        <v>55</v>
      </c>
      <c r="T21" s="194">
        <f>IF(ISNUMBER(S21),S21/VLOOKUP($Q21,xRates!$A$1:$AA$267,studies!$R21-xRates!$B$1+2,FALSE),S21)</f>
        <v>55</v>
      </c>
      <c r="V21" s="194"/>
      <c r="W21" s="163" t="s">
        <v>148</v>
      </c>
      <c r="X21" s="163" t="s">
        <v>157</v>
      </c>
      <c r="Y21" s="163" t="s">
        <v>148</v>
      </c>
      <c r="Z21" s="163" t="s">
        <v>148</v>
      </c>
      <c r="AA21" s="163" t="s">
        <v>148</v>
      </c>
      <c r="AB21" s="163" t="s">
        <v>159</v>
      </c>
      <c r="AC21" s="192">
        <v>20667</v>
      </c>
      <c r="AD21" s="192">
        <v>20667</v>
      </c>
      <c r="AE21" s="192" t="str">
        <f t="shared" si="11"/>
        <v>No</v>
      </c>
      <c r="AF21" s="192">
        <f t="shared" si="2"/>
        <v>11319.06194</v>
      </c>
      <c r="AG21" s="159" t="str">
        <f t="shared" si="12"/>
        <v>Not cost-effective</v>
      </c>
      <c r="AH21" s="159" t="str">
        <f t="shared" si="13"/>
        <v>Cost-effective</v>
      </c>
      <c r="AI21" s="198">
        <f t="shared" si="14"/>
        <v>1.8258580180541004</v>
      </c>
      <c r="AJ21" s="198">
        <f t="shared" si="3"/>
        <v>0.75</v>
      </c>
      <c r="AK21" s="159" t="str">
        <f t="shared" si="15"/>
        <v>Not cost-effective</v>
      </c>
      <c r="AL21" s="198">
        <f t="shared" si="4"/>
        <v>0.45</v>
      </c>
      <c r="AM21" s="162" t="str">
        <f t="shared" si="16"/>
        <v>Not cost-effective</v>
      </c>
      <c r="AN21" s="198">
        <f t="shared" si="5"/>
        <v>0.56444312933505247</v>
      </c>
      <c r="AO21" s="159" t="str">
        <f t="shared" si="17"/>
        <v>Not cost-effective</v>
      </c>
      <c r="AP21" s="198">
        <f t="shared" si="6"/>
        <v>0.31731694657870113</v>
      </c>
      <c r="AQ21" s="159" t="str">
        <f t="shared" si="18"/>
        <v>Not cost-effective</v>
      </c>
      <c r="AR21" s="198">
        <f t="shared" si="7"/>
        <v>0.6686887394303227</v>
      </c>
      <c r="AS21" s="159" t="str">
        <f t="shared" si="19"/>
        <v>Not cost-effective</v>
      </c>
      <c r="AT21" s="198">
        <f t="shared" si="8"/>
        <v>0.2771843839443679</v>
      </c>
      <c r="AU21" s="159" t="str">
        <f t="shared" si="20"/>
        <v>Not cost-effective</v>
      </c>
      <c r="AV21" s="162" t="s">
        <v>210</v>
      </c>
      <c r="AW21" s="162" t="s">
        <v>1993</v>
      </c>
      <c r="AX21" s="168" t="str">
        <f t="shared" si="21"/>
        <v/>
      </c>
      <c r="AY21" s="168" t="str">
        <f t="shared" si="22"/>
        <v/>
      </c>
      <c r="AZ21" s="163" t="str">
        <f t="shared" si="23"/>
        <v/>
      </c>
      <c r="BA21" s="163" t="str">
        <f t="shared" si="24"/>
        <v/>
      </c>
      <c r="BB21" s="163" t="str">
        <f t="shared" si="25"/>
        <v/>
      </c>
      <c r="BC21" s="163" t="str">
        <f t="shared" si="26"/>
        <v/>
      </c>
      <c r="BD21" s="163">
        <f t="shared" si="27"/>
        <v>0</v>
      </c>
      <c r="BE21" s="163" t="s">
        <v>157</v>
      </c>
      <c r="BF21" s="162" t="s">
        <v>1425</v>
      </c>
    </row>
    <row r="22" spans="1:58">
      <c r="A22" s="159">
        <f t="shared" si="9"/>
        <v>10</v>
      </c>
      <c r="B22" s="159">
        <f t="shared" si="10"/>
        <v>3</v>
      </c>
      <c r="C22" s="190" t="str">
        <f t="shared" si="0"/>
        <v>1003</v>
      </c>
      <c r="D22" s="159" t="s">
        <v>229</v>
      </c>
      <c r="E22" s="192">
        <v>2016</v>
      </c>
      <c r="F22" s="162" t="s">
        <v>1931</v>
      </c>
      <c r="G22" s="162" t="s">
        <v>214</v>
      </c>
      <c r="H22" s="163" t="str">
        <f t="shared" si="1"/>
        <v>UM</v>
      </c>
      <c r="I22" s="163" t="s">
        <v>148</v>
      </c>
      <c r="J22" s="162" t="s">
        <v>186</v>
      </c>
      <c r="K22" s="162" t="s">
        <v>151</v>
      </c>
      <c r="L22" s="162" t="s">
        <v>353</v>
      </c>
      <c r="M22" s="162" t="s">
        <v>2014</v>
      </c>
      <c r="N22" s="163" t="s">
        <v>148</v>
      </c>
      <c r="O22" s="164" t="s">
        <v>1979</v>
      </c>
      <c r="P22" s="162" t="s">
        <v>154</v>
      </c>
      <c r="Q22" s="162" t="s">
        <v>155</v>
      </c>
      <c r="R22" s="192">
        <v>2014</v>
      </c>
      <c r="S22" s="194">
        <v>55</v>
      </c>
      <c r="T22" s="194">
        <f>IF(ISNUMBER(S22),S22/VLOOKUP($Q22,xRates!$A$1:$AA$267,studies!$R22-xRates!$B$1+2,FALSE),S22)</f>
        <v>55</v>
      </c>
      <c r="V22" s="194"/>
      <c r="W22" s="163" t="s">
        <v>148</v>
      </c>
      <c r="X22" s="163" t="s">
        <v>157</v>
      </c>
      <c r="Y22" s="163" t="s">
        <v>148</v>
      </c>
      <c r="Z22" s="163" t="s">
        <v>148</v>
      </c>
      <c r="AA22" s="163" t="s">
        <v>148</v>
      </c>
      <c r="AB22" s="163" t="s">
        <v>159</v>
      </c>
      <c r="AC22" s="192">
        <v>6389</v>
      </c>
      <c r="AD22" s="192">
        <v>6389</v>
      </c>
      <c r="AE22" s="192" t="str">
        <f t="shared" si="11"/>
        <v>No</v>
      </c>
      <c r="AF22" s="192">
        <f t="shared" si="2"/>
        <v>11319.06194</v>
      </c>
      <c r="AG22" s="159" t="str">
        <f t="shared" si="12"/>
        <v>Cost-effective</v>
      </c>
      <c r="AH22" s="159" t="str">
        <f t="shared" si="13"/>
        <v>Cost-effective</v>
      </c>
      <c r="AI22" s="198">
        <f t="shared" si="14"/>
        <v>0.56444606751573267</v>
      </c>
      <c r="AJ22" s="198">
        <f t="shared" si="3"/>
        <v>0.75</v>
      </c>
      <c r="AK22" s="159" t="str">
        <f t="shared" si="15"/>
        <v>Cost-effective</v>
      </c>
      <c r="AL22" s="198">
        <f t="shared" si="4"/>
        <v>0.45</v>
      </c>
      <c r="AM22" s="162" t="str">
        <f t="shared" si="16"/>
        <v>Not cost-effective</v>
      </c>
      <c r="AN22" s="198">
        <f t="shared" si="5"/>
        <v>0.56444312933505247</v>
      </c>
      <c r="AO22" s="159" t="str">
        <f t="shared" si="17"/>
        <v>Not cost-effective</v>
      </c>
      <c r="AP22" s="198">
        <f t="shared" si="6"/>
        <v>0.31731694657870113</v>
      </c>
      <c r="AQ22" s="159" t="str">
        <f t="shared" si="18"/>
        <v>Not cost-effective</v>
      </c>
      <c r="AR22" s="198">
        <f t="shared" si="7"/>
        <v>0.6686887394303227</v>
      </c>
      <c r="AS22" s="159" t="str">
        <f t="shared" si="19"/>
        <v>Cost-effective</v>
      </c>
      <c r="AT22" s="198">
        <f t="shared" si="8"/>
        <v>0.2771843839443679</v>
      </c>
      <c r="AU22" s="159" t="str">
        <f t="shared" si="20"/>
        <v>Not cost-effective</v>
      </c>
      <c r="AV22" s="162" t="s">
        <v>210</v>
      </c>
      <c r="AW22" s="162" t="s">
        <v>1995</v>
      </c>
      <c r="AX22" s="168">
        <f t="shared" si="21"/>
        <v>0</v>
      </c>
      <c r="AY22" s="168">
        <f t="shared" si="22"/>
        <v>1</v>
      </c>
      <c r="AZ22" s="163">
        <f t="shared" si="23"/>
        <v>1</v>
      </c>
      <c r="BA22" s="163">
        <f t="shared" si="24"/>
        <v>1</v>
      </c>
      <c r="BB22" s="163">
        <f t="shared" si="25"/>
        <v>0</v>
      </c>
      <c r="BC22" s="163">
        <f t="shared" si="26"/>
        <v>1</v>
      </c>
      <c r="BD22" s="163">
        <f t="shared" si="27"/>
        <v>4</v>
      </c>
      <c r="BE22" s="163" t="s">
        <v>157</v>
      </c>
      <c r="BF22" s="162" t="s">
        <v>1425</v>
      </c>
    </row>
    <row r="23" spans="1:58">
      <c r="A23" s="159">
        <f t="shared" si="9"/>
        <v>10</v>
      </c>
      <c r="B23" s="159">
        <f t="shared" si="10"/>
        <v>4</v>
      </c>
      <c r="C23" s="190" t="str">
        <f t="shared" si="0"/>
        <v>1004</v>
      </c>
      <c r="D23" s="159" t="s">
        <v>229</v>
      </c>
      <c r="E23" s="192">
        <v>2016</v>
      </c>
      <c r="F23" s="162" t="s">
        <v>1931</v>
      </c>
      <c r="G23" s="162" t="s">
        <v>214</v>
      </c>
      <c r="H23" s="163" t="str">
        <f t="shared" si="1"/>
        <v>UM</v>
      </c>
      <c r="I23" s="163" t="s">
        <v>148</v>
      </c>
      <c r="J23" s="162" t="s">
        <v>186</v>
      </c>
      <c r="K23" s="162" t="s">
        <v>151</v>
      </c>
      <c r="L23" s="162" t="s">
        <v>353</v>
      </c>
      <c r="M23" s="162" t="s">
        <v>2014</v>
      </c>
      <c r="N23" s="163" t="s">
        <v>148</v>
      </c>
      <c r="O23" s="164" t="s">
        <v>153</v>
      </c>
      <c r="P23" s="162" t="s">
        <v>154</v>
      </c>
      <c r="Q23" s="162" t="s">
        <v>155</v>
      </c>
      <c r="R23" s="192">
        <v>2014</v>
      </c>
      <c r="S23" s="194">
        <v>55</v>
      </c>
      <c r="T23" s="194">
        <f>IF(ISNUMBER(S23),S23/VLOOKUP($Q23,xRates!$A$1:$AA$267,studies!$R23-xRates!$B$1+2,FALSE),S23)</f>
        <v>55</v>
      </c>
      <c r="V23" s="194"/>
      <c r="W23" s="163" t="s">
        <v>148</v>
      </c>
      <c r="X23" s="163" t="s">
        <v>157</v>
      </c>
      <c r="Y23" s="163" t="s">
        <v>148</v>
      </c>
      <c r="Z23" s="163" t="s">
        <v>148</v>
      </c>
      <c r="AA23" s="163" t="s">
        <v>148</v>
      </c>
      <c r="AB23" s="163" t="s">
        <v>159</v>
      </c>
      <c r="AC23" s="192">
        <v>4883</v>
      </c>
      <c r="AD23" s="192">
        <v>4883</v>
      </c>
      <c r="AE23" s="192" t="str">
        <f t="shared" si="11"/>
        <v>No</v>
      </c>
      <c r="AF23" s="192">
        <f t="shared" si="2"/>
        <v>11319.06194</v>
      </c>
      <c r="AG23" s="159" t="str">
        <f t="shared" si="12"/>
        <v>Cost-effective</v>
      </c>
      <c r="AH23" s="159" t="str">
        <f t="shared" si="13"/>
        <v>Cost-effective</v>
      </c>
      <c r="AI23" s="198">
        <f t="shared" si="14"/>
        <v>0.43139617274680275</v>
      </c>
      <c r="AJ23" s="198">
        <f t="shared" si="3"/>
        <v>0.75</v>
      </c>
      <c r="AK23" s="159" t="str">
        <f t="shared" si="15"/>
        <v>Cost-effective</v>
      </c>
      <c r="AL23" s="198">
        <f t="shared" si="4"/>
        <v>0.45</v>
      </c>
      <c r="AM23" s="162" t="str">
        <f t="shared" si="16"/>
        <v>Cost-effective</v>
      </c>
      <c r="AN23" s="198">
        <f t="shared" si="5"/>
        <v>0.56444312933505247</v>
      </c>
      <c r="AO23" s="159" t="str">
        <f t="shared" si="17"/>
        <v>Cost-effective</v>
      </c>
      <c r="AP23" s="198">
        <f t="shared" si="6"/>
        <v>0.31731694657870113</v>
      </c>
      <c r="AQ23" s="159" t="str">
        <f t="shared" si="18"/>
        <v>Not cost-effective</v>
      </c>
      <c r="AR23" s="198">
        <f t="shared" si="7"/>
        <v>0.6686887394303227</v>
      </c>
      <c r="AS23" s="159" t="str">
        <f t="shared" si="19"/>
        <v>Cost-effective</v>
      </c>
      <c r="AT23" s="198">
        <f t="shared" si="8"/>
        <v>0.2771843839443679</v>
      </c>
      <c r="AU23" s="159" t="str">
        <f t="shared" si="20"/>
        <v>Not cost-effective</v>
      </c>
      <c r="AV23" s="162" t="s">
        <v>210</v>
      </c>
      <c r="AW23" s="162" t="s">
        <v>1995</v>
      </c>
      <c r="AX23" s="168">
        <f t="shared" si="21"/>
        <v>0</v>
      </c>
      <c r="AY23" s="168">
        <f t="shared" si="22"/>
        <v>0</v>
      </c>
      <c r="AZ23" s="163">
        <f t="shared" si="23"/>
        <v>0</v>
      </c>
      <c r="BA23" s="163">
        <f t="shared" si="24"/>
        <v>1</v>
      </c>
      <c r="BB23" s="163">
        <f t="shared" si="25"/>
        <v>0</v>
      </c>
      <c r="BC23" s="163">
        <f t="shared" si="26"/>
        <v>1</v>
      </c>
      <c r="BD23" s="163">
        <f t="shared" si="27"/>
        <v>2</v>
      </c>
      <c r="BE23" s="163" t="s">
        <v>157</v>
      </c>
      <c r="BF23" s="162" t="s">
        <v>1425</v>
      </c>
    </row>
    <row r="24" spans="1:58">
      <c r="A24" s="159">
        <f t="shared" si="9"/>
        <v>10</v>
      </c>
      <c r="B24" s="159">
        <f t="shared" si="10"/>
        <v>5</v>
      </c>
      <c r="C24" s="190" t="str">
        <f t="shared" si="0"/>
        <v>1005</v>
      </c>
      <c r="D24" s="159" t="s">
        <v>229</v>
      </c>
      <c r="E24" s="192">
        <v>2016</v>
      </c>
      <c r="F24" s="162" t="s">
        <v>1931</v>
      </c>
      <c r="G24" s="162" t="s">
        <v>214</v>
      </c>
      <c r="H24" s="163" t="str">
        <f t="shared" si="1"/>
        <v>UM</v>
      </c>
      <c r="I24" s="163" t="s">
        <v>148</v>
      </c>
      <c r="J24" s="162" t="s">
        <v>186</v>
      </c>
      <c r="K24" s="162" t="s">
        <v>183</v>
      </c>
      <c r="L24" s="162" t="s">
        <v>371</v>
      </c>
      <c r="M24" s="162" t="s">
        <v>2014</v>
      </c>
      <c r="N24" s="163" t="s">
        <v>148</v>
      </c>
      <c r="O24" s="164" t="s">
        <v>1979</v>
      </c>
      <c r="P24" s="162" t="s">
        <v>154</v>
      </c>
      <c r="Q24" s="162" t="s">
        <v>155</v>
      </c>
      <c r="R24" s="192">
        <v>2014</v>
      </c>
      <c r="S24" s="194">
        <v>55</v>
      </c>
      <c r="T24" s="194">
        <f>IF(ISNUMBER(S24),S24/VLOOKUP($Q24,xRates!$A$1:$AA$267,studies!$R24-xRates!$B$1+2,FALSE),S24)</f>
        <v>55</v>
      </c>
      <c r="U24" s="163">
        <v>55</v>
      </c>
      <c r="V24" s="194">
        <v>55</v>
      </c>
      <c r="W24" s="163" t="s">
        <v>148</v>
      </c>
      <c r="X24" s="163" t="s">
        <v>157</v>
      </c>
      <c r="Y24" s="163" t="s">
        <v>148</v>
      </c>
      <c r="Z24" s="163" t="s">
        <v>148</v>
      </c>
      <c r="AA24" s="163" t="s">
        <v>148</v>
      </c>
      <c r="AB24" s="163" t="s">
        <v>159</v>
      </c>
      <c r="AC24" s="192">
        <v>-3059</v>
      </c>
      <c r="AD24" s="192">
        <v>-3059</v>
      </c>
      <c r="AE24" s="192" t="str">
        <f t="shared" si="11"/>
        <v>Yes</v>
      </c>
      <c r="AF24" s="192">
        <f t="shared" si="2"/>
        <v>11319.06194</v>
      </c>
      <c r="AG24" s="159" t="str">
        <f t="shared" si="12"/>
        <v>Cost-saving</v>
      </c>
      <c r="AH24" s="159" t="str">
        <f t="shared" si="13"/>
        <v>Cost-saving</v>
      </c>
      <c r="AI24" s="198">
        <f t="shared" si="14"/>
        <v>-0.27025207709040949</v>
      </c>
      <c r="AJ24" s="198">
        <f t="shared" si="3"/>
        <v>0.75</v>
      </c>
      <c r="AK24" s="159" t="str">
        <f t="shared" si="15"/>
        <v>Cost-saving</v>
      </c>
      <c r="AL24" s="198">
        <f t="shared" si="4"/>
        <v>0.45</v>
      </c>
      <c r="AM24" s="162" t="str">
        <f t="shared" si="16"/>
        <v>Cost-saving</v>
      </c>
      <c r="AN24" s="198">
        <f t="shared" si="5"/>
        <v>0.56444312933505247</v>
      </c>
      <c r="AO24" s="159" t="str">
        <f t="shared" si="17"/>
        <v>Cost-saving</v>
      </c>
      <c r="AP24" s="198">
        <f t="shared" si="6"/>
        <v>0.31731694657870113</v>
      </c>
      <c r="AQ24" s="159" t="str">
        <f t="shared" si="18"/>
        <v>Cost-saving</v>
      </c>
      <c r="AR24" s="198">
        <f t="shared" si="7"/>
        <v>0.6686887394303227</v>
      </c>
      <c r="AS24" s="159" t="str">
        <f t="shared" si="19"/>
        <v>Cost-saving</v>
      </c>
      <c r="AT24" s="198">
        <f t="shared" si="8"/>
        <v>0.2771843839443679</v>
      </c>
      <c r="AU24" s="159" t="str">
        <f t="shared" si="20"/>
        <v>Cost-saving</v>
      </c>
      <c r="AV24" s="162" t="s">
        <v>210</v>
      </c>
      <c r="AW24" s="162" t="s">
        <v>1994</v>
      </c>
      <c r="AX24" s="168" t="str">
        <f t="shared" si="21"/>
        <v/>
      </c>
      <c r="AY24" s="168" t="str">
        <f t="shared" si="22"/>
        <v/>
      </c>
      <c r="AZ24" s="163" t="str">
        <f t="shared" si="23"/>
        <v/>
      </c>
      <c r="BA24" s="163" t="str">
        <f t="shared" si="24"/>
        <v/>
      </c>
      <c r="BB24" s="163" t="str">
        <f t="shared" si="25"/>
        <v/>
      </c>
      <c r="BC24" s="163" t="str">
        <f t="shared" si="26"/>
        <v/>
      </c>
      <c r="BD24" s="163">
        <f t="shared" si="27"/>
        <v>0</v>
      </c>
      <c r="BE24" s="163" t="s">
        <v>157</v>
      </c>
      <c r="BF24" s="162" t="s">
        <v>1425</v>
      </c>
    </row>
    <row r="25" spans="1:58">
      <c r="A25" s="159">
        <f t="shared" si="9"/>
        <v>10</v>
      </c>
      <c r="B25" s="159">
        <f t="shared" si="10"/>
        <v>6</v>
      </c>
      <c r="C25" s="190" t="str">
        <f t="shared" si="0"/>
        <v>1006</v>
      </c>
      <c r="D25" s="159" t="s">
        <v>229</v>
      </c>
      <c r="E25" s="192">
        <v>2016</v>
      </c>
      <c r="F25" s="162" t="s">
        <v>1931</v>
      </c>
      <c r="G25" s="162" t="s">
        <v>214</v>
      </c>
      <c r="H25" s="163" t="str">
        <f t="shared" si="1"/>
        <v>UM</v>
      </c>
      <c r="I25" s="163" t="s">
        <v>148</v>
      </c>
      <c r="J25" s="162" t="s">
        <v>186</v>
      </c>
      <c r="K25" s="162" t="s">
        <v>183</v>
      </c>
      <c r="L25" s="162" t="s">
        <v>371</v>
      </c>
      <c r="M25" s="162" t="s">
        <v>2014</v>
      </c>
      <c r="N25" s="163" t="s">
        <v>148</v>
      </c>
      <c r="O25" s="164" t="s">
        <v>153</v>
      </c>
      <c r="P25" s="162" t="s">
        <v>154</v>
      </c>
      <c r="Q25" s="162" t="s">
        <v>155</v>
      </c>
      <c r="R25" s="192">
        <v>2014</v>
      </c>
      <c r="S25" s="194">
        <v>55</v>
      </c>
      <c r="T25" s="194">
        <f>IF(ISNUMBER(S25),S25/VLOOKUP($Q25,xRates!$A$1:$AA$267,studies!$R25-xRates!$B$1+2,FALSE),S25)</f>
        <v>55</v>
      </c>
      <c r="U25" s="163">
        <v>55</v>
      </c>
      <c r="V25" s="194">
        <v>55</v>
      </c>
      <c r="W25" s="163" t="s">
        <v>148</v>
      </c>
      <c r="X25" s="163" t="s">
        <v>157</v>
      </c>
      <c r="Y25" s="163" t="s">
        <v>148</v>
      </c>
      <c r="Z25" s="163" t="s">
        <v>148</v>
      </c>
      <c r="AA25" s="163" t="s">
        <v>148</v>
      </c>
      <c r="AB25" s="163" t="s">
        <v>159</v>
      </c>
      <c r="AC25" s="192">
        <v>-5027</v>
      </c>
      <c r="AD25" s="192">
        <v>-5027</v>
      </c>
      <c r="AE25" s="192" t="str">
        <f t="shared" si="11"/>
        <v>Yes</v>
      </c>
      <c r="AF25" s="192">
        <f t="shared" si="2"/>
        <v>11319.06194</v>
      </c>
      <c r="AG25" s="159" t="str">
        <f t="shared" si="12"/>
        <v>Cost-saving</v>
      </c>
      <c r="AH25" s="159" t="str">
        <f t="shared" si="13"/>
        <v>Cost-saving</v>
      </c>
      <c r="AI25" s="198">
        <f t="shared" si="14"/>
        <v>-0.44411807503546535</v>
      </c>
      <c r="AJ25" s="198">
        <f t="shared" si="3"/>
        <v>0.75</v>
      </c>
      <c r="AK25" s="159" t="str">
        <f t="shared" si="15"/>
        <v>Cost-saving</v>
      </c>
      <c r="AL25" s="198">
        <f t="shared" si="4"/>
        <v>0.45</v>
      </c>
      <c r="AM25" s="162" t="str">
        <f t="shared" si="16"/>
        <v>Cost-saving</v>
      </c>
      <c r="AN25" s="198">
        <f t="shared" si="5"/>
        <v>0.56444312933505247</v>
      </c>
      <c r="AO25" s="159" t="str">
        <f t="shared" si="17"/>
        <v>Cost-saving</v>
      </c>
      <c r="AP25" s="198">
        <f t="shared" si="6"/>
        <v>0.31731694657870113</v>
      </c>
      <c r="AQ25" s="159" t="str">
        <f t="shared" si="18"/>
        <v>Cost-saving</v>
      </c>
      <c r="AR25" s="198">
        <f t="shared" si="7"/>
        <v>0.6686887394303227</v>
      </c>
      <c r="AS25" s="159" t="str">
        <f t="shared" si="19"/>
        <v>Cost-saving</v>
      </c>
      <c r="AT25" s="198">
        <f t="shared" si="8"/>
        <v>0.2771843839443679</v>
      </c>
      <c r="AU25" s="159" t="str">
        <f t="shared" si="20"/>
        <v>Cost-saving</v>
      </c>
      <c r="AV25" s="162" t="s">
        <v>210</v>
      </c>
      <c r="AW25" s="162" t="s">
        <v>1994</v>
      </c>
      <c r="AX25" s="168" t="str">
        <f t="shared" si="21"/>
        <v/>
      </c>
      <c r="AY25" s="168" t="str">
        <f t="shared" si="22"/>
        <v/>
      </c>
      <c r="AZ25" s="163" t="str">
        <f t="shared" si="23"/>
        <v/>
      </c>
      <c r="BA25" s="163" t="str">
        <f t="shared" si="24"/>
        <v/>
      </c>
      <c r="BB25" s="163" t="str">
        <f t="shared" si="25"/>
        <v/>
      </c>
      <c r="BC25" s="163" t="str">
        <f t="shared" si="26"/>
        <v/>
      </c>
      <c r="BD25" s="163">
        <f t="shared" si="27"/>
        <v>0</v>
      </c>
      <c r="BE25" s="163" t="s">
        <v>157</v>
      </c>
      <c r="BF25" s="162" t="s">
        <v>1425</v>
      </c>
    </row>
    <row r="26" spans="1:58">
      <c r="A26" s="159">
        <f t="shared" si="9"/>
        <v>10</v>
      </c>
      <c r="B26" s="159">
        <f t="shared" si="10"/>
        <v>7</v>
      </c>
      <c r="C26" s="190" t="str">
        <f t="shared" si="0"/>
        <v>1007</v>
      </c>
      <c r="D26" s="159" t="s">
        <v>229</v>
      </c>
      <c r="E26" s="192">
        <v>2016</v>
      </c>
      <c r="F26" s="162" t="s">
        <v>1931</v>
      </c>
      <c r="G26" s="162" t="s">
        <v>214</v>
      </c>
      <c r="H26" s="163" t="str">
        <f t="shared" si="1"/>
        <v>UM</v>
      </c>
      <c r="I26" s="163" t="s">
        <v>148</v>
      </c>
      <c r="J26" s="162" t="s">
        <v>186</v>
      </c>
      <c r="K26" s="162" t="s">
        <v>151</v>
      </c>
      <c r="L26" s="162" t="s">
        <v>353</v>
      </c>
      <c r="M26" s="162" t="s">
        <v>2014</v>
      </c>
      <c r="N26" s="163" t="s">
        <v>157</v>
      </c>
      <c r="O26" s="164" t="s">
        <v>1979</v>
      </c>
      <c r="P26" s="162" t="s">
        <v>154</v>
      </c>
      <c r="Q26" s="162" t="s">
        <v>155</v>
      </c>
      <c r="R26" s="192">
        <v>2014</v>
      </c>
      <c r="S26" s="194">
        <v>55</v>
      </c>
      <c r="T26" s="194">
        <f>IF(ISNUMBER(S26),S26/VLOOKUP($Q26,xRates!$A$1:$AA$267,studies!$R26-xRates!$B$1+2,FALSE),S26)</f>
        <v>55</v>
      </c>
      <c r="V26" s="194"/>
      <c r="W26" s="163" t="s">
        <v>157</v>
      </c>
      <c r="X26" s="163" t="s">
        <v>157</v>
      </c>
      <c r="Y26" s="163" t="s">
        <v>148</v>
      </c>
      <c r="Z26" s="163" t="s">
        <v>148</v>
      </c>
      <c r="AA26" s="163" t="s">
        <v>148</v>
      </c>
      <c r="AB26" s="163" t="s">
        <v>159</v>
      </c>
      <c r="AC26" s="192">
        <v>15752</v>
      </c>
      <c r="AD26" s="192">
        <v>15752</v>
      </c>
      <c r="AE26" s="192" t="str">
        <f t="shared" si="11"/>
        <v>No</v>
      </c>
      <c r="AF26" s="192">
        <f t="shared" si="2"/>
        <v>11319.06194</v>
      </c>
      <c r="AG26" s="159" t="str">
        <f t="shared" si="12"/>
        <v>Not cost-effective</v>
      </c>
      <c r="AH26" s="159" t="str">
        <f t="shared" si="13"/>
        <v>Cost-effective</v>
      </c>
      <c r="AI26" s="198">
        <f t="shared" si="14"/>
        <v>1.391634755909817</v>
      </c>
      <c r="AJ26" s="198">
        <f t="shared" si="3"/>
        <v>0.75</v>
      </c>
      <c r="AK26" s="159" t="str">
        <f t="shared" si="15"/>
        <v>Not cost-effective</v>
      </c>
      <c r="AL26" s="198">
        <f t="shared" si="4"/>
        <v>0.45</v>
      </c>
      <c r="AM26" s="162" t="str">
        <f t="shared" si="16"/>
        <v>Not cost-effective</v>
      </c>
      <c r="AN26" s="198">
        <f t="shared" si="5"/>
        <v>0.56444312933505247</v>
      </c>
      <c r="AO26" s="159" t="str">
        <f t="shared" si="17"/>
        <v>Not cost-effective</v>
      </c>
      <c r="AP26" s="198">
        <f t="shared" si="6"/>
        <v>0.31731694657870113</v>
      </c>
      <c r="AQ26" s="159" t="str">
        <f t="shared" si="18"/>
        <v>Not cost-effective</v>
      </c>
      <c r="AR26" s="198">
        <f t="shared" si="7"/>
        <v>0.6686887394303227</v>
      </c>
      <c r="AS26" s="159" t="str">
        <f t="shared" si="19"/>
        <v>Not cost-effective</v>
      </c>
      <c r="AT26" s="198">
        <f t="shared" si="8"/>
        <v>0.2771843839443679</v>
      </c>
      <c r="AU26" s="159" t="str">
        <f t="shared" si="20"/>
        <v>Not cost-effective</v>
      </c>
      <c r="AV26" s="162" t="s">
        <v>210</v>
      </c>
      <c r="AW26" s="162" t="s">
        <v>1993</v>
      </c>
      <c r="AX26" s="168" t="str">
        <f t="shared" si="21"/>
        <v/>
      </c>
      <c r="AY26" s="168" t="str">
        <f t="shared" si="22"/>
        <v/>
      </c>
      <c r="AZ26" s="163" t="str">
        <f t="shared" si="23"/>
        <v/>
      </c>
      <c r="BA26" s="163" t="str">
        <f t="shared" si="24"/>
        <v/>
      </c>
      <c r="BB26" s="163" t="str">
        <f t="shared" si="25"/>
        <v/>
      </c>
      <c r="BC26" s="163" t="str">
        <f t="shared" si="26"/>
        <v/>
      </c>
      <c r="BD26" s="163">
        <f t="shared" si="27"/>
        <v>0</v>
      </c>
      <c r="BE26" s="163" t="s">
        <v>157</v>
      </c>
      <c r="BF26" s="162" t="s">
        <v>1425</v>
      </c>
    </row>
    <row r="27" spans="1:58">
      <c r="A27" s="159">
        <f t="shared" si="9"/>
        <v>10</v>
      </c>
      <c r="B27" s="159">
        <f t="shared" si="10"/>
        <v>8</v>
      </c>
      <c r="C27" s="190" t="str">
        <f t="shared" si="0"/>
        <v>1008</v>
      </c>
      <c r="D27" s="159" t="s">
        <v>229</v>
      </c>
      <c r="E27" s="192">
        <v>2016</v>
      </c>
      <c r="F27" s="162" t="s">
        <v>1931</v>
      </c>
      <c r="G27" s="162" t="s">
        <v>214</v>
      </c>
      <c r="H27" s="163" t="str">
        <f t="shared" si="1"/>
        <v>UM</v>
      </c>
      <c r="I27" s="163" t="s">
        <v>148</v>
      </c>
      <c r="J27" s="162" t="s">
        <v>186</v>
      </c>
      <c r="K27" s="162" t="s">
        <v>151</v>
      </c>
      <c r="L27" s="162" t="s">
        <v>353</v>
      </c>
      <c r="M27" s="162" t="s">
        <v>2014</v>
      </c>
      <c r="N27" s="163" t="s">
        <v>157</v>
      </c>
      <c r="O27" s="164" t="s">
        <v>153</v>
      </c>
      <c r="P27" s="162" t="s">
        <v>154</v>
      </c>
      <c r="Q27" s="162" t="s">
        <v>155</v>
      </c>
      <c r="R27" s="192">
        <v>2014</v>
      </c>
      <c r="S27" s="194">
        <v>55</v>
      </c>
      <c r="T27" s="194">
        <f>IF(ISNUMBER(S27),S27/VLOOKUP($Q27,xRates!$A$1:$AA$267,studies!$R27-xRates!$B$1+2,FALSE),S27)</f>
        <v>55</v>
      </c>
      <c r="V27" s="194"/>
      <c r="W27" s="163" t="s">
        <v>157</v>
      </c>
      <c r="X27" s="163" t="s">
        <v>157</v>
      </c>
      <c r="Y27" s="163" t="s">
        <v>148</v>
      </c>
      <c r="Z27" s="163" t="s">
        <v>148</v>
      </c>
      <c r="AA27" s="163" t="s">
        <v>148</v>
      </c>
      <c r="AB27" s="163" t="s">
        <v>159</v>
      </c>
      <c r="AC27" s="192">
        <v>14981</v>
      </c>
      <c r="AD27" s="192">
        <v>14981</v>
      </c>
      <c r="AE27" s="192" t="str">
        <f t="shared" si="11"/>
        <v>No</v>
      </c>
      <c r="AF27" s="192">
        <f t="shared" si="2"/>
        <v>11319.06194</v>
      </c>
      <c r="AG27" s="159" t="str">
        <f t="shared" si="12"/>
        <v>Not cost-effective</v>
      </c>
      <c r="AH27" s="159" t="str">
        <f t="shared" si="13"/>
        <v>Cost-effective</v>
      </c>
      <c r="AI27" s="198">
        <f t="shared" si="14"/>
        <v>1.3235195707392693</v>
      </c>
      <c r="AJ27" s="198">
        <f t="shared" si="3"/>
        <v>0.75</v>
      </c>
      <c r="AK27" s="159" t="str">
        <f t="shared" si="15"/>
        <v>Not cost-effective</v>
      </c>
      <c r="AL27" s="198">
        <f t="shared" si="4"/>
        <v>0.45</v>
      </c>
      <c r="AM27" s="162" t="str">
        <f t="shared" si="16"/>
        <v>Not cost-effective</v>
      </c>
      <c r="AN27" s="198">
        <f t="shared" si="5"/>
        <v>0.56444312933505247</v>
      </c>
      <c r="AO27" s="159" t="str">
        <f t="shared" si="17"/>
        <v>Not cost-effective</v>
      </c>
      <c r="AP27" s="198">
        <f t="shared" si="6"/>
        <v>0.31731694657870113</v>
      </c>
      <c r="AQ27" s="159" t="str">
        <f t="shared" si="18"/>
        <v>Not cost-effective</v>
      </c>
      <c r="AR27" s="198">
        <f t="shared" si="7"/>
        <v>0.6686887394303227</v>
      </c>
      <c r="AS27" s="159" t="str">
        <f t="shared" si="19"/>
        <v>Not cost-effective</v>
      </c>
      <c r="AT27" s="198">
        <f t="shared" si="8"/>
        <v>0.2771843839443679</v>
      </c>
      <c r="AU27" s="159" t="str">
        <f t="shared" si="20"/>
        <v>Not cost-effective</v>
      </c>
      <c r="AV27" s="162" t="s">
        <v>210</v>
      </c>
      <c r="AW27" s="162" t="s">
        <v>1993</v>
      </c>
      <c r="AX27" s="168" t="str">
        <f t="shared" si="21"/>
        <v/>
      </c>
      <c r="AY27" s="168" t="str">
        <f t="shared" si="22"/>
        <v/>
      </c>
      <c r="AZ27" s="163" t="str">
        <f t="shared" si="23"/>
        <v/>
      </c>
      <c r="BA27" s="163" t="str">
        <f t="shared" si="24"/>
        <v/>
      </c>
      <c r="BB27" s="163" t="str">
        <f t="shared" si="25"/>
        <v/>
      </c>
      <c r="BC27" s="163" t="str">
        <f t="shared" si="26"/>
        <v/>
      </c>
      <c r="BD27" s="163">
        <f t="shared" si="27"/>
        <v>0</v>
      </c>
      <c r="BE27" s="163" t="s">
        <v>157</v>
      </c>
      <c r="BF27" s="162" t="s">
        <v>1425</v>
      </c>
    </row>
    <row r="28" spans="1:58">
      <c r="A28" s="159">
        <f t="shared" si="9"/>
        <v>11</v>
      </c>
      <c r="B28" s="159">
        <f t="shared" si="10"/>
        <v>1</v>
      </c>
      <c r="C28" s="190" t="str">
        <f t="shared" si="0"/>
        <v>1101</v>
      </c>
      <c r="D28" s="159" t="s">
        <v>243</v>
      </c>
      <c r="E28" s="192">
        <v>2019</v>
      </c>
      <c r="F28" s="162" t="s">
        <v>1932</v>
      </c>
      <c r="G28" s="162" t="s">
        <v>245</v>
      </c>
      <c r="H28" s="163" t="str">
        <f t="shared" si="1"/>
        <v>LM</v>
      </c>
      <c r="I28" s="163" t="s">
        <v>148</v>
      </c>
      <c r="J28" s="162" t="s">
        <v>186</v>
      </c>
      <c r="K28" s="162" t="s">
        <v>151</v>
      </c>
      <c r="L28" s="162" t="s">
        <v>353</v>
      </c>
      <c r="M28" s="162" t="s">
        <v>2013</v>
      </c>
      <c r="N28" s="163" t="s">
        <v>148</v>
      </c>
      <c r="O28" s="162" t="s">
        <v>1979</v>
      </c>
      <c r="P28" s="162" t="s">
        <v>154</v>
      </c>
      <c r="Q28" s="162" t="s">
        <v>155</v>
      </c>
      <c r="R28" s="192">
        <v>2017</v>
      </c>
      <c r="S28" s="194">
        <v>3.3</v>
      </c>
      <c r="T28" s="194">
        <f>IF(ISNUMBER(S28),S28/VLOOKUP($Q28,xRates!$A$1:$AA$267,studies!$R28-xRates!$B$1+2,FALSE),S28)</f>
        <v>3.3</v>
      </c>
      <c r="V28" s="194"/>
      <c r="W28" s="163" t="s">
        <v>157</v>
      </c>
      <c r="X28" s="163" t="s">
        <v>157</v>
      </c>
      <c r="Y28" s="163" t="s">
        <v>148</v>
      </c>
      <c r="Z28" s="163" t="s">
        <v>148</v>
      </c>
      <c r="AA28" s="163" t="s">
        <v>148</v>
      </c>
      <c r="AB28" s="163" t="s">
        <v>247</v>
      </c>
      <c r="AC28" s="192">
        <v>467</v>
      </c>
      <c r="AD28" s="192">
        <v>467</v>
      </c>
      <c r="AE28" s="192" t="str">
        <f t="shared" si="11"/>
        <v>No</v>
      </c>
      <c r="AF28" s="192">
        <f t="shared" si="2"/>
        <v>1980.6670200000001</v>
      </c>
      <c r="AG28" s="159" t="str">
        <f t="shared" si="12"/>
        <v>Cost-effective</v>
      </c>
      <c r="AH28" s="159" t="str">
        <f t="shared" si="13"/>
        <v>Cost-effective</v>
      </c>
      <c r="AI28" s="198">
        <f t="shared" si="14"/>
        <v>0.23577915686201509</v>
      </c>
      <c r="AJ28" s="198">
        <f t="shared" si="3"/>
        <v>0.23</v>
      </c>
      <c r="AK28" s="159" t="str">
        <f t="shared" si="15"/>
        <v>Not cost-effective</v>
      </c>
      <c r="AL28" s="198">
        <f t="shared" si="4"/>
        <v>0.17</v>
      </c>
      <c r="AM28" s="162" t="str">
        <f t="shared" si="16"/>
        <v>Not cost-effective</v>
      </c>
      <c r="AN28" s="198">
        <f t="shared" si="5"/>
        <v>0.53117718600199304</v>
      </c>
      <c r="AO28" s="159" t="str">
        <f t="shared" si="17"/>
        <v>Cost-effective</v>
      </c>
      <c r="AP28" s="198">
        <f t="shared" si="6"/>
        <v>7.9331657649648321E-2</v>
      </c>
      <c r="AQ28" s="159" t="str">
        <f t="shared" si="18"/>
        <v>Not cost-effective</v>
      </c>
      <c r="AR28" s="198">
        <f t="shared" si="7"/>
        <v>0.29418044517547048</v>
      </c>
      <c r="AS28" s="159" t="str">
        <f t="shared" si="19"/>
        <v>Cost-effective</v>
      </c>
      <c r="AT28" s="198">
        <f t="shared" si="8"/>
        <v>0.11852901431827209</v>
      </c>
      <c r="AU28" s="159" t="str">
        <f t="shared" si="20"/>
        <v>Not cost-effective</v>
      </c>
      <c r="AV28" s="162" t="s">
        <v>210</v>
      </c>
      <c r="AW28" s="162" t="s">
        <v>1995</v>
      </c>
      <c r="AX28" s="168">
        <f t="shared" si="21"/>
        <v>1</v>
      </c>
      <c r="AY28" s="168">
        <f t="shared" si="22"/>
        <v>1</v>
      </c>
      <c r="AZ28" s="163">
        <f t="shared" si="23"/>
        <v>0</v>
      </c>
      <c r="BA28" s="163">
        <f t="shared" si="24"/>
        <v>1</v>
      </c>
      <c r="BB28" s="163">
        <f t="shared" si="25"/>
        <v>0</v>
      </c>
      <c r="BC28" s="163">
        <f t="shared" si="26"/>
        <v>1</v>
      </c>
      <c r="BD28" s="163">
        <f t="shared" si="27"/>
        <v>4</v>
      </c>
      <c r="BE28" s="163" t="s">
        <v>148</v>
      </c>
      <c r="BF28" s="162" t="s">
        <v>1403</v>
      </c>
    </row>
    <row r="29" spans="1:58">
      <c r="A29" s="159">
        <f t="shared" si="9"/>
        <v>12</v>
      </c>
      <c r="B29" s="159">
        <f t="shared" si="10"/>
        <v>1</v>
      </c>
      <c r="C29" s="190" t="str">
        <f t="shared" si="0"/>
        <v>1201</v>
      </c>
      <c r="D29" s="159" t="s">
        <v>250</v>
      </c>
      <c r="E29" s="192">
        <v>2019</v>
      </c>
      <c r="F29" s="162" t="s">
        <v>1933</v>
      </c>
      <c r="G29" s="162" t="s">
        <v>252</v>
      </c>
      <c r="H29" s="163" t="str">
        <f t="shared" si="1"/>
        <v>UM</v>
      </c>
      <c r="I29" s="163" t="s">
        <v>148</v>
      </c>
      <c r="J29" s="162" t="s">
        <v>183</v>
      </c>
      <c r="K29" s="162" t="s">
        <v>151</v>
      </c>
      <c r="L29" s="162" t="s">
        <v>352</v>
      </c>
      <c r="M29" s="162" t="s">
        <v>2014</v>
      </c>
      <c r="N29" s="163" t="s">
        <v>157</v>
      </c>
      <c r="O29" s="162" t="s">
        <v>153</v>
      </c>
      <c r="P29" s="162" t="s">
        <v>253</v>
      </c>
      <c r="Q29" s="162" t="s">
        <v>252</v>
      </c>
      <c r="R29" s="192">
        <v>2018</v>
      </c>
      <c r="S29" s="194">
        <v>1440</v>
      </c>
      <c r="T29" s="194">
        <f>IF(ISNUMBER(S29),S29/VLOOKUP($Q29,xRates!$A$1:$AA$267,studies!$R29-xRates!$B$1+2,FALSE),S29)</f>
        <v>44.56793373860836</v>
      </c>
      <c r="V29" s="194"/>
      <c r="W29" s="163" t="s">
        <v>148</v>
      </c>
      <c r="X29" s="163" t="s">
        <v>157</v>
      </c>
      <c r="Y29" s="163" t="s">
        <v>148</v>
      </c>
      <c r="Z29" s="163" t="s">
        <v>148</v>
      </c>
      <c r="AA29" s="163" t="s">
        <v>148</v>
      </c>
      <c r="AB29" s="163" t="s">
        <v>159</v>
      </c>
      <c r="AC29" s="192">
        <v>-46918</v>
      </c>
      <c r="AD29" s="192">
        <f>AC29/xRates!$X$194</f>
        <v>-1452.1099410750187</v>
      </c>
      <c r="AE29" s="192" t="str">
        <f t="shared" si="11"/>
        <v>Yes</v>
      </c>
      <c r="AF29" s="192">
        <f t="shared" si="2"/>
        <v>7296.8796080000002</v>
      </c>
      <c r="AG29" s="159" t="str">
        <f t="shared" si="12"/>
        <v>Cost-saving</v>
      </c>
      <c r="AH29" s="159" t="str">
        <f t="shared" si="13"/>
        <v>Cost-saving</v>
      </c>
      <c r="AI29" s="198">
        <f t="shared" si="14"/>
        <v>-0.19900423456116567</v>
      </c>
      <c r="AJ29" s="198">
        <f t="shared" si="3"/>
        <v>1.1200000000000001</v>
      </c>
      <c r="AK29" s="159" t="str">
        <f t="shared" si="15"/>
        <v>Cost-saving</v>
      </c>
      <c r="AL29" s="198">
        <f t="shared" si="4"/>
        <v>0.7</v>
      </c>
      <c r="AM29" s="162" t="str">
        <f t="shared" si="16"/>
        <v>Cost-saving</v>
      </c>
      <c r="AN29" s="198">
        <f t="shared" si="5"/>
        <v>0.63924009905265922</v>
      </c>
      <c r="AO29" s="159" t="str">
        <f t="shared" si="17"/>
        <v>Cost-saving</v>
      </c>
      <c r="AP29" s="198">
        <f t="shared" si="6"/>
        <v>0.19146400126329965</v>
      </c>
      <c r="AQ29" s="159" t="str">
        <f t="shared" si="18"/>
        <v>Cost-saving</v>
      </c>
      <c r="AR29" s="198">
        <f t="shared" si="7"/>
        <v>0.65485399346386453</v>
      </c>
      <c r="AS29" s="159" t="str">
        <f t="shared" si="19"/>
        <v>Cost-saving</v>
      </c>
      <c r="AT29" s="198">
        <f t="shared" si="8"/>
        <v>0.27145930340502455</v>
      </c>
      <c r="AU29" s="159" t="str">
        <f t="shared" si="20"/>
        <v>Cost-saving</v>
      </c>
      <c r="AV29" s="162" t="s">
        <v>257</v>
      </c>
      <c r="AW29" s="162" t="s">
        <v>1994</v>
      </c>
      <c r="AX29" s="168" t="str">
        <f t="shared" si="21"/>
        <v/>
      </c>
      <c r="AY29" s="168" t="str">
        <f t="shared" si="22"/>
        <v/>
      </c>
      <c r="AZ29" s="163" t="str">
        <f t="shared" si="23"/>
        <v/>
      </c>
      <c r="BA29" s="163" t="str">
        <f t="shared" si="24"/>
        <v/>
      </c>
      <c r="BB29" s="163" t="str">
        <f t="shared" si="25"/>
        <v/>
      </c>
      <c r="BC29" s="163" t="str">
        <f t="shared" si="26"/>
        <v/>
      </c>
      <c r="BD29" s="163">
        <f t="shared" si="27"/>
        <v>0</v>
      </c>
      <c r="BE29" s="163" t="s">
        <v>148</v>
      </c>
      <c r="BF29" s="162" t="s">
        <v>1425</v>
      </c>
    </row>
    <row r="30" spans="1:58">
      <c r="A30" s="159">
        <f t="shared" si="9"/>
        <v>12</v>
      </c>
      <c r="B30" s="159">
        <f t="shared" si="10"/>
        <v>2</v>
      </c>
      <c r="C30" s="190" t="str">
        <f t="shared" si="0"/>
        <v>1202</v>
      </c>
      <c r="D30" s="159" t="s">
        <v>250</v>
      </c>
      <c r="E30" s="192">
        <v>2019</v>
      </c>
      <c r="F30" s="162" t="s">
        <v>1933</v>
      </c>
      <c r="G30" s="162" t="s">
        <v>252</v>
      </c>
      <c r="H30" s="163" t="str">
        <f t="shared" si="1"/>
        <v>UM</v>
      </c>
      <c r="I30" s="163" t="s">
        <v>148</v>
      </c>
      <c r="J30" s="162" t="s">
        <v>183</v>
      </c>
      <c r="K30" s="162" t="s">
        <v>151</v>
      </c>
      <c r="L30" s="162" t="s">
        <v>352</v>
      </c>
      <c r="M30" s="162" t="s">
        <v>2013</v>
      </c>
      <c r="N30" s="163" t="s">
        <v>157</v>
      </c>
      <c r="O30" s="162" t="s">
        <v>153</v>
      </c>
      <c r="P30" s="162" t="s">
        <v>253</v>
      </c>
      <c r="Q30" s="162" t="s">
        <v>252</v>
      </c>
      <c r="R30" s="192">
        <v>2018</v>
      </c>
      <c r="S30" s="194">
        <v>1440</v>
      </c>
      <c r="T30" s="194">
        <f>IF(ISNUMBER(S30),S30/VLOOKUP($Q30,xRates!$A$1:$AA$267,studies!$R30-xRates!$B$1+2,FALSE),S30)</f>
        <v>44.56793373860836</v>
      </c>
      <c r="V30" s="194"/>
      <c r="W30" s="163" t="s">
        <v>148</v>
      </c>
      <c r="X30" s="163" t="s">
        <v>157</v>
      </c>
      <c r="Y30" s="163" t="s">
        <v>148</v>
      </c>
      <c r="Z30" s="163" t="s">
        <v>148</v>
      </c>
      <c r="AA30" s="163" t="s">
        <v>148</v>
      </c>
      <c r="AB30" s="163" t="s">
        <v>159</v>
      </c>
      <c r="AC30" s="192">
        <v>-70854</v>
      </c>
      <c r="AD30" s="192">
        <f>AC30/xRates!$X$194</f>
        <v>-2192.9280396634422</v>
      </c>
      <c r="AE30" s="192" t="str">
        <f t="shared" si="11"/>
        <v>Yes</v>
      </c>
      <c r="AF30" s="192">
        <f t="shared" si="2"/>
        <v>7296.8796080000002</v>
      </c>
      <c r="AG30" s="159" t="str">
        <f t="shared" si="12"/>
        <v>Cost-saving</v>
      </c>
      <c r="AH30" s="159" t="str">
        <f t="shared" si="13"/>
        <v>Cost-saving</v>
      </c>
      <c r="AI30" s="198">
        <f t="shared" si="14"/>
        <v>-0.30052956297363131</v>
      </c>
      <c r="AJ30" s="198">
        <f t="shared" si="3"/>
        <v>1.1200000000000001</v>
      </c>
      <c r="AK30" s="159" t="str">
        <f t="shared" si="15"/>
        <v>Cost-saving</v>
      </c>
      <c r="AL30" s="198">
        <f t="shared" si="4"/>
        <v>0.7</v>
      </c>
      <c r="AM30" s="162" t="str">
        <f t="shared" si="16"/>
        <v>Cost-saving</v>
      </c>
      <c r="AN30" s="198">
        <f t="shared" si="5"/>
        <v>0.63924009905265922</v>
      </c>
      <c r="AO30" s="159" t="str">
        <f t="shared" si="17"/>
        <v>Cost-saving</v>
      </c>
      <c r="AP30" s="198">
        <f t="shared" si="6"/>
        <v>0.19146400126329965</v>
      </c>
      <c r="AQ30" s="159" t="str">
        <f t="shared" si="18"/>
        <v>Cost-saving</v>
      </c>
      <c r="AR30" s="198">
        <f t="shared" si="7"/>
        <v>0.65485399346386453</v>
      </c>
      <c r="AS30" s="159" t="str">
        <f t="shared" si="19"/>
        <v>Cost-saving</v>
      </c>
      <c r="AT30" s="198">
        <f t="shared" si="8"/>
        <v>0.27145930340502455</v>
      </c>
      <c r="AU30" s="159" t="str">
        <f t="shared" si="20"/>
        <v>Cost-saving</v>
      </c>
      <c r="AV30" s="162" t="s">
        <v>257</v>
      </c>
      <c r="AW30" s="162" t="s">
        <v>1994</v>
      </c>
      <c r="AX30" s="168" t="str">
        <f t="shared" si="21"/>
        <v/>
      </c>
      <c r="AY30" s="168" t="str">
        <f t="shared" si="22"/>
        <v/>
      </c>
      <c r="AZ30" s="163" t="str">
        <f t="shared" si="23"/>
        <v/>
      </c>
      <c r="BA30" s="163" t="str">
        <f t="shared" si="24"/>
        <v/>
      </c>
      <c r="BB30" s="163" t="str">
        <f t="shared" si="25"/>
        <v/>
      </c>
      <c r="BC30" s="163" t="str">
        <f t="shared" si="26"/>
        <v/>
      </c>
      <c r="BD30" s="163">
        <f t="shared" si="27"/>
        <v>0</v>
      </c>
      <c r="BE30" s="163" t="s">
        <v>148</v>
      </c>
      <c r="BF30" s="162" t="s">
        <v>1425</v>
      </c>
    </row>
    <row r="31" spans="1:58">
      <c r="A31" s="159">
        <f t="shared" si="9"/>
        <v>12</v>
      </c>
      <c r="B31" s="159">
        <f t="shared" si="10"/>
        <v>3</v>
      </c>
      <c r="C31" s="190" t="str">
        <f t="shared" si="0"/>
        <v>1203</v>
      </c>
      <c r="D31" s="159" t="s">
        <v>250</v>
      </c>
      <c r="E31" s="192">
        <v>2019</v>
      </c>
      <c r="F31" s="162" t="s">
        <v>1933</v>
      </c>
      <c r="G31" s="162" t="s">
        <v>252</v>
      </c>
      <c r="H31" s="163" t="str">
        <f t="shared" si="1"/>
        <v>UM</v>
      </c>
      <c r="I31" s="163" t="s">
        <v>148</v>
      </c>
      <c r="J31" s="162" t="s">
        <v>186</v>
      </c>
      <c r="K31" s="162" t="s">
        <v>151</v>
      </c>
      <c r="L31" s="162" t="s">
        <v>353</v>
      </c>
      <c r="M31" s="162" t="s">
        <v>2014</v>
      </c>
      <c r="N31" s="163" t="s">
        <v>157</v>
      </c>
      <c r="O31" s="162" t="s">
        <v>153</v>
      </c>
      <c r="P31" s="162" t="s">
        <v>253</v>
      </c>
      <c r="Q31" s="162" t="s">
        <v>252</v>
      </c>
      <c r="R31" s="192">
        <v>2018</v>
      </c>
      <c r="S31" s="194">
        <v>1146</v>
      </c>
      <c r="T31" s="194">
        <f>IF(ISNUMBER(S31),S31/VLOOKUP($Q31,xRates!$A$1:$AA$267,studies!$R31-xRates!$B$1+2,FALSE),S31)</f>
        <v>35.468647266975815</v>
      </c>
      <c r="V31" s="194"/>
      <c r="W31" s="163" t="s">
        <v>148</v>
      </c>
      <c r="X31" s="163" t="s">
        <v>157</v>
      </c>
      <c r="Y31" s="163" t="s">
        <v>148</v>
      </c>
      <c r="Z31" s="163" t="s">
        <v>148</v>
      </c>
      <c r="AA31" s="163" t="s">
        <v>148</v>
      </c>
      <c r="AB31" s="163" t="s">
        <v>159</v>
      </c>
      <c r="AC31" s="192">
        <v>-84770</v>
      </c>
      <c r="AD31" s="192">
        <f>AC31/xRates!$X$194</f>
        <v>-2623.6275993207155</v>
      </c>
      <c r="AE31" s="192" t="str">
        <f t="shared" si="11"/>
        <v>Yes</v>
      </c>
      <c r="AF31" s="192">
        <f t="shared" si="2"/>
        <v>7296.8796080000002</v>
      </c>
      <c r="AG31" s="159" t="str">
        <f t="shared" si="12"/>
        <v>Cost-saving</v>
      </c>
      <c r="AH31" s="159" t="str">
        <f t="shared" si="13"/>
        <v>Cost-saving</v>
      </c>
      <c r="AI31" s="198">
        <f t="shared" si="14"/>
        <v>-0.35955473301824487</v>
      </c>
      <c r="AJ31" s="198">
        <f t="shared" si="3"/>
        <v>1.1200000000000001</v>
      </c>
      <c r="AK31" s="159" t="str">
        <f t="shared" si="15"/>
        <v>Cost-saving</v>
      </c>
      <c r="AL31" s="198">
        <f t="shared" si="4"/>
        <v>0.7</v>
      </c>
      <c r="AM31" s="162" t="str">
        <f t="shared" si="16"/>
        <v>Cost-saving</v>
      </c>
      <c r="AN31" s="198">
        <f t="shared" si="5"/>
        <v>0.63924009905265922</v>
      </c>
      <c r="AO31" s="159" t="str">
        <f t="shared" si="17"/>
        <v>Cost-saving</v>
      </c>
      <c r="AP31" s="198">
        <f t="shared" si="6"/>
        <v>0.19146400126329965</v>
      </c>
      <c r="AQ31" s="159" t="str">
        <f t="shared" si="18"/>
        <v>Cost-saving</v>
      </c>
      <c r="AR31" s="198">
        <f t="shared" si="7"/>
        <v>0.65485399346386453</v>
      </c>
      <c r="AS31" s="159" t="str">
        <f t="shared" si="19"/>
        <v>Cost-saving</v>
      </c>
      <c r="AT31" s="198">
        <f t="shared" si="8"/>
        <v>0.27145930340502455</v>
      </c>
      <c r="AU31" s="159" t="str">
        <f t="shared" si="20"/>
        <v>Cost-saving</v>
      </c>
      <c r="AV31" s="162" t="s">
        <v>257</v>
      </c>
      <c r="AW31" s="162" t="s">
        <v>1994</v>
      </c>
      <c r="AX31" s="168" t="str">
        <f t="shared" si="21"/>
        <v/>
      </c>
      <c r="AY31" s="168" t="str">
        <f t="shared" si="22"/>
        <v/>
      </c>
      <c r="AZ31" s="163" t="str">
        <f t="shared" si="23"/>
        <v/>
      </c>
      <c r="BA31" s="163" t="str">
        <f t="shared" si="24"/>
        <v/>
      </c>
      <c r="BB31" s="163" t="str">
        <f t="shared" si="25"/>
        <v/>
      </c>
      <c r="BC31" s="163" t="str">
        <f t="shared" si="26"/>
        <v/>
      </c>
      <c r="BD31" s="163">
        <f t="shared" si="27"/>
        <v>0</v>
      </c>
      <c r="BE31" s="163" t="s">
        <v>148</v>
      </c>
      <c r="BF31" s="162" t="s">
        <v>1425</v>
      </c>
    </row>
    <row r="32" spans="1:58">
      <c r="A32" s="159">
        <f t="shared" si="9"/>
        <v>12</v>
      </c>
      <c r="B32" s="159">
        <f t="shared" si="10"/>
        <v>4</v>
      </c>
      <c r="C32" s="190" t="str">
        <f t="shared" si="0"/>
        <v>1204</v>
      </c>
      <c r="D32" s="159" t="s">
        <v>250</v>
      </c>
      <c r="E32" s="192">
        <v>2019</v>
      </c>
      <c r="F32" s="162" t="s">
        <v>1933</v>
      </c>
      <c r="G32" s="162" t="s">
        <v>252</v>
      </c>
      <c r="H32" s="163" t="str">
        <f t="shared" si="1"/>
        <v>UM</v>
      </c>
      <c r="I32" s="163" t="s">
        <v>148</v>
      </c>
      <c r="J32" s="162" t="s">
        <v>186</v>
      </c>
      <c r="K32" s="162" t="s">
        <v>151</v>
      </c>
      <c r="L32" s="162" t="s">
        <v>353</v>
      </c>
      <c r="M32" s="162" t="s">
        <v>2013</v>
      </c>
      <c r="N32" s="163" t="s">
        <v>157</v>
      </c>
      <c r="O32" s="162" t="s">
        <v>153</v>
      </c>
      <c r="P32" s="162" t="s">
        <v>253</v>
      </c>
      <c r="Q32" s="162" t="s">
        <v>252</v>
      </c>
      <c r="R32" s="192">
        <v>2018</v>
      </c>
      <c r="S32" s="194">
        <v>1146</v>
      </c>
      <c r="T32" s="194">
        <f>IF(ISNUMBER(S32),S32/VLOOKUP($Q32,xRates!$A$1:$AA$267,studies!$R32-xRates!$B$1+2,FALSE),S32)</f>
        <v>35.468647266975815</v>
      </c>
      <c r="V32" s="194"/>
      <c r="W32" s="163" t="s">
        <v>148</v>
      </c>
      <c r="X32" s="163" t="s">
        <v>157</v>
      </c>
      <c r="Y32" s="163" t="s">
        <v>148</v>
      </c>
      <c r="Z32" s="163" t="s">
        <v>148</v>
      </c>
      <c r="AA32" s="163" t="s">
        <v>148</v>
      </c>
      <c r="AB32" s="163" t="s">
        <v>159</v>
      </c>
      <c r="AC32" s="192">
        <v>-99394</v>
      </c>
      <c r="AD32" s="192">
        <f>AC32/xRates!$X$194</f>
        <v>-3076.2397263994717</v>
      </c>
      <c r="AE32" s="192" t="str">
        <f t="shared" si="11"/>
        <v>Yes</v>
      </c>
      <c r="AF32" s="192">
        <f t="shared" si="2"/>
        <v>7296.8796080000002</v>
      </c>
      <c r="AG32" s="159" t="str">
        <f t="shared" si="12"/>
        <v>Cost-saving</v>
      </c>
      <c r="AH32" s="159" t="str">
        <f t="shared" si="13"/>
        <v>Cost-saving</v>
      </c>
      <c r="AI32" s="198">
        <f t="shared" si="14"/>
        <v>-0.42158290826489836</v>
      </c>
      <c r="AJ32" s="198">
        <f t="shared" si="3"/>
        <v>1.1200000000000001</v>
      </c>
      <c r="AK32" s="159" t="str">
        <f t="shared" si="15"/>
        <v>Cost-saving</v>
      </c>
      <c r="AL32" s="198">
        <f t="shared" si="4"/>
        <v>0.7</v>
      </c>
      <c r="AM32" s="162" t="str">
        <f t="shared" si="16"/>
        <v>Cost-saving</v>
      </c>
      <c r="AN32" s="198">
        <f t="shared" si="5"/>
        <v>0.63924009905265922</v>
      </c>
      <c r="AO32" s="159" t="str">
        <f t="shared" si="17"/>
        <v>Cost-saving</v>
      </c>
      <c r="AP32" s="198">
        <f t="shared" si="6"/>
        <v>0.19146400126329965</v>
      </c>
      <c r="AQ32" s="159" t="str">
        <f t="shared" si="18"/>
        <v>Cost-saving</v>
      </c>
      <c r="AR32" s="198">
        <f t="shared" si="7"/>
        <v>0.65485399346386453</v>
      </c>
      <c r="AS32" s="159" t="str">
        <f t="shared" si="19"/>
        <v>Cost-saving</v>
      </c>
      <c r="AT32" s="198">
        <f t="shared" si="8"/>
        <v>0.27145930340502455</v>
      </c>
      <c r="AU32" s="159" t="str">
        <f t="shared" si="20"/>
        <v>Cost-saving</v>
      </c>
      <c r="AV32" s="162" t="s">
        <v>257</v>
      </c>
      <c r="AW32" s="162" t="s">
        <v>1994</v>
      </c>
      <c r="AX32" s="168" t="str">
        <f t="shared" si="21"/>
        <v/>
      </c>
      <c r="AY32" s="168" t="str">
        <f t="shared" si="22"/>
        <v/>
      </c>
      <c r="AZ32" s="163" t="str">
        <f t="shared" si="23"/>
        <v/>
      </c>
      <c r="BA32" s="163" t="str">
        <f t="shared" si="24"/>
        <v/>
      </c>
      <c r="BB32" s="163" t="str">
        <f t="shared" si="25"/>
        <v/>
      </c>
      <c r="BC32" s="163" t="str">
        <f t="shared" si="26"/>
        <v/>
      </c>
      <c r="BD32" s="163">
        <f t="shared" si="27"/>
        <v>0</v>
      </c>
      <c r="BE32" s="163" t="s">
        <v>148</v>
      </c>
      <c r="BF32" s="162" t="s">
        <v>1425</v>
      </c>
    </row>
    <row r="33" spans="1:58">
      <c r="A33" s="159">
        <f t="shared" si="9"/>
        <v>12</v>
      </c>
      <c r="B33" s="159">
        <f t="shared" si="10"/>
        <v>5</v>
      </c>
      <c r="C33" s="190" t="str">
        <f t="shared" si="0"/>
        <v>1205</v>
      </c>
      <c r="D33" s="159" t="s">
        <v>250</v>
      </c>
      <c r="E33" s="192">
        <v>2019</v>
      </c>
      <c r="F33" s="162" t="s">
        <v>1933</v>
      </c>
      <c r="G33" s="162" t="s">
        <v>252</v>
      </c>
      <c r="H33" s="163" t="str">
        <f t="shared" si="1"/>
        <v>UM</v>
      </c>
      <c r="I33" s="163" t="s">
        <v>148</v>
      </c>
      <c r="J33" s="162" t="s">
        <v>183</v>
      </c>
      <c r="K33" s="162" t="s">
        <v>151</v>
      </c>
      <c r="L33" s="162" t="s">
        <v>352</v>
      </c>
      <c r="M33" s="162" t="s">
        <v>2014</v>
      </c>
      <c r="N33" s="163" t="s">
        <v>157</v>
      </c>
      <c r="O33" s="162" t="s">
        <v>153</v>
      </c>
      <c r="P33" s="162" t="s">
        <v>253</v>
      </c>
      <c r="Q33" s="162" t="s">
        <v>252</v>
      </c>
      <c r="R33" s="192">
        <v>2018</v>
      </c>
      <c r="S33" s="194">
        <v>1440</v>
      </c>
      <c r="T33" s="194">
        <f>IF(ISNUMBER(S33),S33/VLOOKUP($Q33,xRates!$A$1:$AA$267,studies!$R33-xRates!$B$1+2,FALSE),S33)</f>
        <v>44.56793373860836</v>
      </c>
      <c r="V33" s="194"/>
      <c r="W33" s="163" t="s">
        <v>157</v>
      </c>
      <c r="X33" s="163" t="s">
        <v>157</v>
      </c>
      <c r="Y33" s="163" t="s">
        <v>148</v>
      </c>
      <c r="Z33" s="163" t="s">
        <v>148</v>
      </c>
      <c r="AA33" s="163" t="s">
        <v>148</v>
      </c>
      <c r="AB33" s="163" t="s">
        <v>159</v>
      </c>
      <c r="AC33" s="192">
        <v>215948</v>
      </c>
      <c r="AD33" s="192">
        <f>AC33/xRates!$X$194</f>
        <v>6683.580663184026</v>
      </c>
      <c r="AE33" s="192" t="str">
        <f t="shared" si="11"/>
        <v>No</v>
      </c>
      <c r="AF33" s="192">
        <f t="shared" si="2"/>
        <v>7296.8796080000002</v>
      </c>
      <c r="AG33" s="159" t="str">
        <f t="shared" si="12"/>
        <v>Cost-effective</v>
      </c>
      <c r="AH33" s="159" t="str">
        <f t="shared" si="13"/>
        <v>Cost-effective</v>
      </c>
      <c r="AI33" s="198">
        <f t="shared" si="14"/>
        <v>0.91595051888432166</v>
      </c>
      <c r="AJ33" s="198">
        <f t="shared" si="3"/>
        <v>1.1200000000000001</v>
      </c>
      <c r="AK33" s="159" t="str">
        <f t="shared" si="15"/>
        <v>Cost-effective</v>
      </c>
      <c r="AL33" s="198">
        <f t="shared" si="4"/>
        <v>0.7</v>
      </c>
      <c r="AM33" s="162" t="str">
        <f t="shared" si="16"/>
        <v>Not cost-effective</v>
      </c>
      <c r="AN33" s="198">
        <f t="shared" si="5"/>
        <v>0.63924009905265922</v>
      </c>
      <c r="AO33" s="159" t="str">
        <f t="shared" si="17"/>
        <v>Not cost-effective</v>
      </c>
      <c r="AP33" s="198">
        <f t="shared" si="6"/>
        <v>0.19146400126329965</v>
      </c>
      <c r="AQ33" s="159" t="str">
        <f t="shared" si="18"/>
        <v>Not cost-effective</v>
      </c>
      <c r="AR33" s="198">
        <f t="shared" si="7"/>
        <v>0.65485399346386453</v>
      </c>
      <c r="AS33" s="159" t="str">
        <f t="shared" si="19"/>
        <v>Not cost-effective</v>
      </c>
      <c r="AT33" s="198">
        <f t="shared" si="8"/>
        <v>0.27145930340502455</v>
      </c>
      <c r="AU33" s="159" t="str">
        <f t="shared" si="20"/>
        <v>Not cost-effective</v>
      </c>
      <c r="AV33" s="162" t="s">
        <v>257</v>
      </c>
      <c r="AW33" s="162" t="s">
        <v>1993</v>
      </c>
      <c r="AX33" s="168" t="str">
        <f t="shared" si="21"/>
        <v/>
      </c>
      <c r="AY33" s="168" t="str">
        <f t="shared" si="22"/>
        <v/>
      </c>
      <c r="AZ33" s="163" t="str">
        <f t="shared" si="23"/>
        <v/>
      </c>
      <c r="BA33" s="163" t="str">
        <f t="shared" si="24"/>
        <v/>
      </c>
      <c r="BB33" s="163" t="str">
        <f t="shared" si="25"/>
        <v/>
      </c>
      <c r="BC33" s="163" t="str">
        <f t="shared" si="26"/>
        <v/>
      </c>
      <c r="BD33" s="163">
        <f t="shared" si="27"/>
        <v>0</v>
      </c>
      <c r="BE33" s="163" t="s">
        <v>148</v>
      </c>
      <c r="BF33" s="162" t="s">
        <v>1425</v>
      </c>
    </row>
    <row r="34" spans="1:58">
      <c r="A34" s="159">
        <f t="shared" si="9"/>
        <v>12</v>
      </c>
      <c r="B34" s="159">
        <f t="shared" si="10"/>
        <v>6</v>
      </c>
      <c r="C34" s="190" t="str">
        <f t="shared" si="0"/>
        <v>1206</v>
      </c>
      <c r="D34" s="159" t="s">
        <v>250</v>
      </c>
      <c r="E34" s="192">
        <v>2019</v>
      </c>
      <c r="F34" s="162" t="s">
        <v>1933</v>
      </c>
      <c r="G34" s="162" t="s">
        <v>252</v>
      </c>
      <c r="H34" s="163" t="str">
        <f t="shared" ref="H34:H65" si="28">VLOOKUP(G34,income,R34-1985,FALSE)</f>
        <v>UM</v>
      </c>
      <c r="I34" s="163" t="s">
        <v>148</v>
      </c>
      <c r="J34" s="162" t="s">
        <v>183</v>
      </c>
      <c r="K34" s="162" t="s">
        <v>151</v>
      </c>
      <c r="L34" s="162" t="s">
        <v>352</v>
      </c>
      <c r="M34" s="162" t="s">
        <v>2013</v>
      </c>
      <c r="N34" s="163" t="s">
        <v>148</v>
      </c>
      <c r="O34" s="162" t="s">
        <v>153</v>
      </c>
      <c r="P34" s="162" t="s">
        <v>253</v>
      </c>
      <c r="Q34" s="162" t="s">
        <v>252</v>
      </c>
      <c r="R34" s="192">
        <v>2018</v>
      </c>
      <c r="S34" s="194">
        <v>1440</v>
      </c>
      <c r="T34" s="194">
        <f>IF(ISNUMBER(S34),S34/VLOOKUP($Q34,xRates!$A$1:$AA$267,studies!$R34-xRates!$B$1+2,FALSE),S34)</f>
        <v>44.56793373860836</v>
      </c>
      <c r="V34" s="194"/>
      <c r="W34" s="163" t="s">
        <v>157</v>
      </c>
      <c r="X34" s="163" t="s">
        <v>157</v>
      </c>
      <c r="Y34" s="163" t="s">
        <v>148</v>
      </c>
      <c r="Z34" s="163" t="s">
        <v>148</v>
      </c>
      <c r="AA34" s="163" t="s">
        <v>148</v>
      </c>
      <c r="AB34" s="163" t="s">
        <v>159</v>
      </c>
      <c r="AC34" s="192">
        <v>170437</v>
      </c>
      <c r="AD34" s="192">
        <f>AC34/xRates!$X$194</f>
        <v>5275.0173073661063</v>
      </c>
      <c r="AE34" s="192" t="str">
        <f t="shared" si="11"/>
        <v>No</v>
      </c>
      <c r="AF34" s="192">
        <f t="shared" ref="AF34:AF65" si="29">VLOOKUP(G34,gdppc,R34-1958,FALSE)</f>
        <v>7296.8796080000002</v>
      </c>
      <c r="AG34" s="159" t="str">
        <f t="shared" si="12"/>
        <v>Cost-effective</v>
      </c>
      <c r="AH34" s="159" t="str">
        <f t="shared" si="13"/>
        <v>Cost-effective</v>
      </c>
      <c r="AI34" s="198">
        <f t="shared" si="14"/>
        <v>0.72291412093229457</v>
      </c>
      <c r="AJ34" s="198">
        <f t="shared" ref="AJ34:AJ65" si="30">IFERROR(VLOOKUP(G34,ochalek,11,FALSE),"")</f>
        <v>1.1200000000000001</v>
      </c>
      <c r="AK34" s="159" t="str">
        <f t="shared" si="15"/>
        <v>Cost-effective</v>
      </c>
      <c r="AL34" s="198">
        <f t="shared" ref="AL34:AL65" si="31">IFERROR(VLOOKUP(G34,ochalek,10,FALSE),"")</f>
        <v>0.7</v>
      </c>
      <c r="AM34" s="162" t="str">
        <f t="shared" si="16"/>
        <v>Not cost-effective</v>
      </c>
      <c r="AN34" s="198">
        <f t="shared" ref="AN34:AN65" si="32">IFERROR(VLOOKUP(G34,woods,6,FALSE),"")</f>
        <v>0.63924009905265922</v>
      </c>
      <c r="AO34" s="159" t="str">
        <f t="shared" si="17"/>
        <v>Not cost-effective</v>
      </c>
      <c r="AP34" s="198">
        <f t="shared" ref="AP34:AP65" si="33">IFERROR(VLOOKUP(G34,woods,5,FALSE),"")</f>
        <v>0.19146400126329965</v>
      </c>
      <c r="AQ34" s="159" t="str">
        <f t="shared" si="18"/>
        <v>Not cost-effective</v>
      </c>
      <c r="AR34" s="198">
        <f t="shared" ref="AR34:AR65" si="34">IFERROR(VLOOKUP(G34,riviere,8,FALSE),"")</f>
        <v>0.65485399346386453</v>
      </c>
      <c r="AS34" s="159" t="str">
        <f t="shared" si="19"/>
        <v>Not cost-effective</v>
      </c>
      <c r="AT34" s="198">
        <f t="shared" ref="AT34:AT65" si="35">IFERROR(VLOOKUP(G34,riviere,7,FALSE),"")</f>
        <v>0.27145930340502455</v>
      </c>
      <c r="AU34" s="159" t="str">
        <f t="shared" si="20"/>
        <v>Not cost-effective</v>
      </c>
      <c r="AV34" s="162" t="s">
        <v>257</v>
      </c>
      <c r="AW34" s="162" t="s">
        <v>1993</v>
      </c>
      <c r="AX34" s="168" t="str">
        <f t="shared" si="21"/>
        <v/>
      </c>
      <c r="AY34" s="168" t="str">
        <f t="shared" si="22"/>
        <v/>
      </c>
      <c r="AZ34" s="163" t="str">
        <f t="shared" si="23"/>
        <v/>
      </c>
      <c r="BA34" s="163" t="str">
        <f t="shared" si="24"/>
        <v/>
      </c>
      <c r="BB34" s="163" t="str">
        <f t="shared" si="25"/>
        <v/>
      </c>
      <c r="BC34" s="163" t="str">
        <f t="shared" si="26"/>
        <v/>
      </c>
      <c r="BD34" s="163">
        <f t="shared" si="27"/>
        <v>0</v>
      </c>
      <c r="BE34" s="163" t="s">
        <v>148</v>
      </c>
      <c r="BF34" s="162" t="s">
        <v>1425</v>
      </c>
    </row>
    <row r="35" spans="1:58">
      <c r="A35" s="159">
        <f t="shared" ref="A35:A66" si="36">IF(F35=F34,A34,A34+1)</f>
        <v>12</v>
      </c>
      <c r="B35" s="159">
        <f t="shared" ref="B35:B66" si="37">IF(F35=F34,B34+1,1)</f>
        <v>7</v>
      </c>
      <c r="C35" s="190" t="str">
        <f t="shared" si="0"/>
        <v>1207</v>
      </c>
      <c r="D35" s="159" t="s">
        <v>250</v>
      </c>
      <c r="E35" s="192">
        <v>2019</v>
      </c>
      <c r="F35" s="162" t="s">
        <v>1933</v>
      </c>
      <c r="G35" s="162" t="s">
        <v>252</v>
      </c>
      <c r="H35" s="163" t="str">
        <f t="shared" si="28"/>
        <v>UM</v>
      </c>
      <c r="I35" s="163" t="s">
        <v>148</v>
      </c>
      <c r="J35" s="162" t="s">
        <v>186</v>
      </c>
      <c r="K35" s="162" t="s">
        <v>151</v>
      </c>
      <c r="L35" s="162" t="s">
        <v>353</v>
      </c>
      <c r="M35" s="162" t="s">
        <v>2014</v>
      </c>
      <c r="N35" s="163" t="s">
        <v>157</v>
      </c>
      <c r="O35" s="162" t="s">
        <v>153</v>
      </c>
      <c r="P35" s="162" t="s">
        <v>253</v>
      </c>
      <c r="Q35" s="162" t="s">
        <v>252</v>
      </c>
      <c r="R35" s="192">
        <v>2018</v>
      </c>
      <c r="S35" s="194">
        <v>1146</v>
      </c>
      <c r="T35" s="194">
        <f>IF(ISNUMBER(S35),S35/VLOOKUP($Q35,xRates!$A$1:$AA$267,studies!$R35-xRates!$B$1+2,FALSE),S35)</f>
        <v>35.468647266975815</v>
      </c>
      <c r="V35" s="194"/>
      <c r="W35" s="163" t="s">
        <v>157</v>
      </c>
      <c r="X35" s="163" t="s">
        <v>157</v>
      </c>
      <c r="Y35" s="163" t="s">
        <v>148</v>
      </c>
      <c r="Z35" s="163" t="s">
        <v>148</v>
      </c>
      <c r="AA35" s="163" t="s">
        <v>148</v>
      </c>
      <c r="AB35" s="163" t="s">
        <v>159</v>
      </c>
      <c r="AC35" s="192">
        <v>97269</v>
      </c>
      <c r="AD35" s="192">
        <f>AC35/xRates!$X$194</f>
        <v>3010.4710741810391</v>
      </c>
      <c r="AE35" s="192" t="str">
        <f t="shared" si="11"/>
        <v>No</v>
      </c>
      <c r="AF35" s="192">
        <f t="shared" si="29"/>
        <v>7296.8796080000002</v>
      </c>
      <c r="AG35" s="159" t="str">
        <f t="shared" si="12"/>
        <v>Cost-effective</v>
      </c>
      <c r="AH35" s="159" t="str">
        <f t="shared" si="13"/>
        <v>Cost-effective</v>
      </c>
      <c r="AI35" s="198">
        <f t="shared" si="14"/>
        <v>0.41256965112600757</v>
      </c>
      <c r="AJ35" s="198">
        <f t="shared" si="30"/>
        <v>1.1200000000000001</v>
      </c>
      <c r="AK35" s="159" t="str">
        <f t="shared" si="15"/>
        <v>Cost-effective</v>
      </c>
      <c r="AL35" s="198">
        <f t="shared" si="31"/>
        <v>0.7</v>
      </c>
      <c r="AM35" s="162" t="str">
        <f t="shared" si="16"/>
        <v>Cost-effective</v>
      </c>
      <c r="AN35" s="198">
        <f t="shared" si="32"/>
        <v>0.63924009905265922</v>
      </c>
      <c r="AO35" s="159" t="str">
        <f t="shared" si="17"/>
        <v>Cost-effective</v>
      </c>
      <c r="AP35" s="198">
        <f t="shared" si="33"/>
        <v>0.19146400126329965</v>
      </c>
      <c r="AQ35" s="159" t="str">
        <f t="shared" si="18"/>
        <v>Not cost-effective</v>
      </c>
      <c r="AR35" s="198">
        <f t="shared" si="34"/>
        <v>0.65485399346386453</v>
      </c>
      <c r="AS35" s="159" t="str">
        <f t="shared" si="19"/>
        <v>Cost-effective</v>
      </c>
      <c r="AT35" s="198">
        <f t="shared" si="35"/>
        <v>0.27145930340502455</v>
      </c>
      <c r="AU35" s="159" t="str">
        <f t="shared" si="20"/>
        <v>Not cost-effective</v>
      </c>
      <c r="AV35" s="162" t="s">
        <v>257</v>
      </c>
      <c r="AW35" s="162" t="s">
        <v>1995</v>
      </c>
      <c r="AX35" s="168">
        <f t="shared" si="21"/>
        <v>0</v>
      </c>
      <c r="AY35" s="168">
        <f t="shared" si="22"/>
        <v>0</v>
      </c>
      <c r="AZ35" s="163">
        <f t="shared" si="23"/>
        <v>0</v>
      </c>
      <c r="BA35" s="163">
        <f t="shared" si="24"/>
        <v>1</v>
      </c>
      <c r="BB35" s="163">
        <f t="shared" si="25"/>
        <v>0</v>
      </c>
      <c r="BC35" s="163">
        <f t="shared" si="26"/>
        <v>1</v>
      </c>
      <c r="BD35" s="163">
        <f t="shared" si="27"/>
        <v>2</v>
      </c>
      <c r="BE35" s="163" t="s">
        <v>148</v>
      </c>
      <c r="BF35" s="162" t="s">
        <v>1425</v>
      </c>
    </row>
    <row r="36" spans="1:58">
      <c r="A36" s="159">
        <f t="shared" si="36"/>
        <v>12</v>
      </c>
      <c r="B36" s="159">
        <f t="shared" si="37"/>
        <v>8</v>
      </c>
      <c r="C36" s="190" t="str">
        <f t="shared" si="0"/>
        <v>1208</v>
      </c>
      <c r="D36" s="159" t="s">
        <v>250</v>
      </c>
      <c r="E36" s="192">
        <v>2019</v>
      </c>
      <c r="F36" s="162" t="s">
        <v>1933</v>
      </c>
      <c r="G36" s="162" t="s">
        <v>252</v>
      </c>
      <c r="H36" s="163" t="str">
        <f t="shared" si="28"/>
        <v>UM</v>
      </c>
      <c r="I36" s="163" t="s">
        <v>148</v>
      </c>
      <c r="J36" s="162" t="s">
        <v>186</v>
      </c>
      <c r="K36" s="162" t="s">
        <v>151</v>
      </c>
      <c r="L36" s="162" t="s">
        <v>353</v>
      </c>
      <c r="M36" s="162" t="s">
        <v>2013</v>
      </c>
      <c r="N36" s="163" t="s">
        <v>148</v>
      </c>
      <c r="O36" s="162" t="s">
        <v>153</v>
      </c>
      <c r="P36" s="162" t="s">
        <v>253</v>
      </c>
      <c r="Q36" s="162" t="s">
        <v>252</v>
      </c>
      <c r="R36" s="192">
        <v>2018</v>
      </c>
      <c r="S36" s="194">
        <v>1146</v>
      </c>
      <c r="T36" s="194">
        <f>IF(ISNUMBER(S36),S36/VLOOKUP($Q36,xRates!$A$1:$AA$267,studies!$R36-xRates!$B$1+2,FALSE),S36)</f>
        <v>35.468647266975815</v>
      </c>
      <c r="V36" s="194"/>
      <c r="W36" s="163" t="s">
        <v>157</v>
      </c>
      <c r="X36" s="163" t="s">
        <v>157</v>
      </c>
      <c r="Y36" s="163" t="s">
        <v>148</v>
      </c>
      <c r="Z36" s="163" t="s">
        <v>148</v>
      </c>
      <c r="AA36" s="163" t="s">
        <v>148</v>
      </c>
      <c r="AB36" s="163" t="s">
        <v>159</v>
      </c>
      <c r="AC36" s="192">
        <v>73674</v>
      </c>
      <c r="AD36" s="192">
        <f>AC36/xRates!$X$194</f>
        <v>2280.2069099015503</v>
      </c>
      <c r="AE36" s="192" t="str">
        <f t="shared" si="11"/>
        <v>No</v>
      </c>
      <c r="AF36" s="192">
        <f t="shared" si="29"/>
        <v>7296.8796080000002</v>
      </c>
      <c r="AG36" s="159" t="str">
        <f t="shared" si="12"/>
        <v>Cost-effective</v>
      </c>
      <c r="AH36" s="159" t="str">
        <f t="shared" si="13"/>
        <v>Cost-effective</v>
      </c>
      <c r="AI36" s="198">
        <f t="shared" si="14"/>
        <v>0.31249068538853575</v>
      </c>
      <c r="AJ36" s="198">
        <f t="shared" si="30"/>
        <v>1.1200000000000001</v>
      </c>
      <c r="AK36" s="159" t="str">
        <f t="shared" si="15"/>
        <v>Cost-effective</v>
      </c>
      <c r="AL36" s="198">
        <f t="shared" si="31"/>
        <v>0.7</v>
      </c>
      <c r="AM36" s="162" t="str">
        <f t="shared" si="16"/>
        <v>Cost-effective</v>
      </c>
      <c r="AN36" s="198">
        <f t="shared" si="32"/>
        <v>0.63924009905265922</v>
      </c>
      <c r="AO36" s="159" t="str">
        <f t="shared" si="17"/>
        <v>Cost-effective</v>
      </c>
      <c r="AP36" s="198">
        <f t="shared" si="33"/>
        <v>0.19146400126329965</v>
      </c>
      <c r="AQ36" s="159" t="str">
        <f t="shared" si="18"/>
        <v>Not cost-effective</v>
      </c>
      <c r="AR36" s="198">
        <f t="shared" si="34"/>
        <v>0.65485399346386453</v>
      </c>
      <c r="AS36" s="159" t="str">
        <f t="shared" si="19"/>
        <v>Cost-effective</v>
      </c>
      <c r="AT36" s="198">
        <f t="shared" si="35"/>
        <v>0.27145930340502455</v>
      </c>
      <c r="AU36" s="159" t="str">
        <f t="shared" si="20"/>
        <v>Not cost-effective</v>
      </c>
      <c r="AV36" s="162" t="s">
        <v>257</v>
      </c>
      <c r="AW36" s="162" t="s">
        <v>1995</v>
      </c>
      <c r="AX36" s="168">
        <f t="shared" si="21"/>
        <v>0</v>
      </c>
      <c r="AY36" s="168">
        <f t="shared" si="22"/>
        <v>0</v>
      </c>
      <c r="AZ36" s="163">
        <f t="shared" si="23"/>
        <v>0</v>
      </c>
      <c r="BA36" s="163">
        <f t="shared" si="24"/>
        <v>1</v>
      </c>
      <c r="BB36" s="163">
        <f t="shared" si="25"/>
        <v>0</v>
      </c>
      <c r="BC36" s="163">
        <f t="shared" si="26"/>
        <v>1</v>
      </c>
      <c r="BD36" s="163">
        <f t="shared" si="27"/>
        <v>2</v>
      </c>
      <c r="BE36" s="163" t="s">
        <v>148</v>
      </c>
      <c r="BF36" s="162" t="s">
        <v>1425</v>
      </c>
    </row>
    <row r="37" spans="1:58">
      <c r="A37" s="159">
        <f t="shared" si="36"/>
        <v>13</v>
      </c>
      <c r="B37" s="159">
        <f t="shared" si="37"/>
        <v>1</v>
      </c>
      <c r="C37" s="190" t="str">
        <f t="shared" si="0"/>
        <v>1301</v>
      </c>
      <c r="D37" s="159" t="s">
        <v>270</v>
      </c>
      <c r="E37" s="192">
        <v>2013</v>
      </c>
      <c r="F37" s="162" t="s">
        <v>1934</v>
      </c>
      <c r="G37" s="162" t="s">
        <v>252</v>
      </c>
      <c r="H37" s="163" t="str">
        <f t="shared" si="28"/>
        <v>UM</v>
      </c>
      <c r="I37" s="163" t="s">
        <v>148</v>
      </c>
      <c r="J37" s="162" t="s">
        <v>183</v>
      </c>
      <c r="K37" s="162" t="s">
        <v>151</v>
      </c>
      <c r="L37" s="162" t="s">
        <v>352</v>
      </c>
      <c r="M37" s="162" t="s">
        <v>2013</v>
      </c>
      <c r="N37" s="163" t="s">
        <v>157</v>
      </c>
      <c r="O37" s="162" t="s">
        <v>153</v>
      </c>
      <c r="P37" s="162" t="s">
        <v>253</v>
      </c>
      <c r="Q37" s="162" t="s">
        <v>252</v>
      </c>
      <c r="R37" s="192">
        <v>2010</v>
      </c>
      <c r="S37" s="194">
        <v>1440</v>
      </c>
      <c r="T37" s="194">
        <f>IF(ISNUMBER(S37),S37/VLOOKUP($Q37,xRates!$A$1:$AA$267,studies!$R37-xRates!$B$1+2,FALSE),S37)</f>
        <v>45.446361379682102</v>
      </c>
      <c r="V37" s="194"/>
      <c r="W37" s="163" t="s">
        <v>148</v>
      </c>
      <c r="X37" s="163" t="s">
        <v>148</v>
      </c>
      <c r="Y37" s="163" t="s">
        <v>148</v>
      </c>
      <c r="Z37" s="163" t="s">
        <v>148</v>
      </c>
      <c r="AA37" s="163" t="s">
        <v>148</v>
      </c>
      <c r="AB37" s="163" t="s">
        <v>159</v>
      </c>
      <c r="AC37" s="192">
        <v>519399</v>
      </c>
      <c r="AD37" s="192">
        <f>AC37/xRates!$P$194</f>
        <v>16392.218509892711</v>
      </c>
      <c r="AE37" s="192" t="str">
        <f t="shared" si="11"/>
        <v>No</v>
      </c>
      <c r="AF37" s="192">
        <f t="shared" si="29"/>
        <v>5076.3398719999996</v>
      </c>
      <c r="AG37" s="159" t="str">
        <f t="shared" si="12"/>
        <v>Not cost-effective</v>
      </c>
      <c r="AH37" s="159" t="str">
        <f t="shared" si="13"/>
        <v>Not cost-effective</v>
      </c>
      <c r="AI37" s="198">
        <f t="shared" si="14"/>
        <v>3.2291412559487336</v>
      </c>
      <c r="AJ37" s="198">
        <f t="shared" si="30"/>
        <v>1.1200000000000001</v>
      </c>
      <c r="AK37" s="159" t="str">
        <f t="shared" si="15"/>
        <v>Not cost-effective</v>
      </c>
      <c r="AL37" s="198">
        <f t="shared" si="31"/>
        <v>0.7</v>
      </c>
      <c r="AM37" s="162" t="str">
        <f t="shared" si="16"/>
        <v>Not cost-effective</v>
      </c>
      <c r="AN37" s="198">
        <f t="shared" si="32"/>
        <v>0.63924009905265922</v>
      </c>
      <c r="AO37" s="159" t="str">
        <f t="shared" si="17"/>
        <v>Not cost-effective</v>
      </c>
      <c r="AP37" s="198">
        <f t="shared" si="33"/>
        <v>0.19146400126329965</v>
      </c>
      <c r="AQ37" s="159" t="str">
        <f t="shared" si="18"/>
        <v>Not cost-effective</v>
      </c>
      <c r="AR37" s="198">
        <f t="shared" si="34"/>
        <v>0.65485399346386453</v>
      </c>
      <c r="AS37" s="159" t="str">
        <f t="shared" si="19"/>
        <v>Not cost-effective</v>
      </c>
      <c r="AT37" s="198">
        <f t="shared" si="35"/>
        <v>0.27145930340502455</v>
      </c>
      <c r="AU37" s="159" t="str">
        <f t="shared" si="20"/>
        <v>Not cost-effective</v>
      </c>
      <c r="AV37" s="162" t="s">
        <v>275</v>
      </c>
      <c r="AW37" s="162" t="s">
        <v>1993</v>
      </c>
      <c r="AX37" s="168" t="str">
        <f t="shared" si="21"/>
        <v/>
      </c>
      <c r="AY37" s="168" t="str">
        <f t="shared" si="22"/>
        <v/>
      </c>
      <c r="AZ37" s="163" t="str">
        <f t="shared" si="23"/>
        <v/>
      </c>
      <c r="BA37" s="163" t="str">
        <f t="shared" si="24"/>
        <v/>
      </c>
      <c r="BB37" s="163" t="str">
        <f t="shared" si="25"/>
        <v/>
      </c>
      <c r="BC37" s="163" t="str">
        <f t="shared" si="26"/>
        <v/>
      </c>
      <c r="BD37" s="163">
        <f t="shared" si="27"/>
        <v>0</v>
      </c>
      <c r="BE37" s="163" t="s">
        <v>157</v>
      </c>
      <c r="BF37" s="162" t="s">
        <v>1426</v>
      </c>
    </row>
    <row r="38" spans="1:58">
      <c r="A38" s="159">
        <f t="shared" si="36"/>
        <v>13</v>
      </c>
      <c r="B38" s="159">
        <f t="shared" si="37"/>
        <v>2</v>
      </c>
      <c r="C38" s="190" t="str">
        <f t="shared" si="0"/>
        <v>1302</v>
      </c>
      <c r="D38" s="159" t="s">
        <v>270</v>
      </c>
      <c r="E38" s="192">
        <v>2013</v>
      </c>
      <c r="F38" s="162" t="s">
        <v>1934</v>
      </c>
      <c r="G38" s="162" t="s">
        <v>252</v>
      </c>
      <c r="H38" s="163" t="str">
        <f t="shared" si="28"/>
        <v>UM</v>
      </c>
      <c r="I38" s="163" t="s">
        <v>148</v>
      </c>
      <c r="J38" s="162" t="s">
        <v>183</v>
      </c>
      <c r="K38" s="162" t="s">
        <v>151</v>
      </c>
      <c r="L38" s="162" t="s">
        <v>352</v>
      </c>
      <c r="M38" s="162" t="s">
        <v>2014</v>
      </c>
      <c r="N38" s="163" t="s">
        <v>157</v>
      </c>
      <c r="O38" s="162" t="s">
        <v>153</v>
      </c>
      <c r="P38" s="162" t="s">
        <v>253</v>
      </c>
      <c r="Q38" s="162" t="s">
        <v>252</v>
      </c>
      <c r="R38" s="192">
        <v>2010</v>
      </c>
      <c r="S38" s="194">
        <v>1440</v>
      </c>
      <c r="T38" s="194">
        <f>IF(ISNUMBER(S38),S38/VLOOKUP($Q38,xRates!$A$1:$AA$267,studies!$R38-xRates!$B$1+2,FALSE),S38)</f>
        <v>45.446361379682102</v>
      </c>
      <c r="V38" s="194"/>
      <c r="W38" s="163" t="s">
        <v>148</v>
      </c>
      <c r="X38" s="163" t="s">
        <v>148</v>
      </c>
      <c r="Y38" s="163" t="s">
        <v>148</v>
      </c>
      <c r="Z38" s="163" t="s">
        <v>148</v>
      </c>
      <c r="AA38" s="163" t="s">
        <v>148</v>
      </c>
      <c r="AB38" s="163" t="s">
        <v>159</v>
      </c>
      <c r="AC38" s="192">
        <v>650087</v>
      </c>
      <c r="AD38" s="192">
        <f>AC38/xRates!$P$194</f>
        <v>20516.728284884306</v>
      </c>
      <c r="AE38" s="192" t="str">
        <f t="shared" si="11"/>
        <v>No</v>
      </c>
      <c r="AF38" s="192">
        <f t="shared" si="29"/>
        <v>5076.3398719999996</v>
      </c>
      <c r="AG38" s="159" t="str">
        <f t="shared" si="12"/>
        <v>Not cost-effective</v>
      </c>
      <c r="AH38" s="159" t="str">
        <f t="shared" si="13"/>
        <v>Not cost-effective</v>
      </c>
      <c r="AI38" s="198">
        <f t="shared" si="14"/>
        <v>4.0416380309857054</v>
      </c>
      <c r="AJ38" s="198">
        <f t="shared" si="30"/>
        <v>1.1200000000000001</v>
      </c>
      <c r="AK38" s="159" t="str">
        <f t="shared" si="15"/>
        <v>Not cost-effective</v>
      </c>
      <c r="AL38" s="198">
        <f t="shared" si="31"/>
        <v>0.7</v>
      </c>
      <c r="AM38" s="162" t="str">
        <f t="shared" si="16"/>
        <v>Not cost-effective</v>
      </c>
      <c r="AN38" s="198">
        <f t="shared" si="32"/>
        <v>0.63924009905265922</v>
      </c>
      <c r="AO38" s="159" t="str">
        <f t="shared" si="17"/>
        <v>Not cost-effective</v>
      </c>
      <c r="AP38" s="198">
        <f t="shared" si="33"/>
        <v>0.19146400126329965</v>
      </c>
      <c r="AQ38" s="159" t="str">
        <f t="shared" si="18"/>
        <v>Not cost-effective</v>
      </c>
      <c r="AR38" s="198">
        <f t="shared" si="34"/>
        <v>0.65485399346386453</v>
      </c>
      <c r="AS38" s="159" t="str">
        <f t="shared" si="19"/>
        <v>Not cost-effective</v>
      </c>
      <c r="AT38" s="198">
        <f t="shared" si="35"/>
        <v>0.27145930340502455</v>
      </c>
      <c r="AU38" s="159" t="str">
        <f t="shared" si="20"/>
        <v>Not cost-effective</v>
      </c>
      <c r="AV38" s="162" t="s">
        <v>275</v>
      </c>
      <c r="AW38" s="162" t="s">
        <v>1993</v>
      </c>
      <c r="AX38" s="168" t="str">
        <f t="shared" si="21"/>
        <v/>
      </c>
      <c r="AY38" s="168" t="str">
        <f t="shared" si="22"/>
        <v/>
      </c>
      <c r="AZ38" s="163" t="str">
        <f t="shared" si="23"/>
        <v/>
      </c>
      <c r="BA38" s="163" t="str">
        <f t="shared" si="24"/>
        <v/>
      </c>
      <c r="BB38" s="163" t="str">
        <f t="shared" si="25"/>
        <v/>
      </c>
      <c r="BC38" s="163" t="str">
        <f t="shared" si="26"/>
        <v/>
      </c>
      <c r="BD38" s="163">
        <f t="shared" si="27"/>
        <v>0</v>
      </c>
      <c r="BE38" s="163" t="s">
        <v>157</v>
      </c>
      <c r="BF38" s="162" t="s">
        <v>1426</v>
      </c>
    </row>
    <row r="39" spans="1:58">
      <c r="A39" s="159">
        <f t="shared" si="36"/>
        <v>13</v>
      </c>
      <c r="B39" s="159">
        <f t="shared" si="37"/>
        <v>3</v>
      </c>
      <c r="C39" s="190" t="str">
        <f t="shared" si="0"/>
        <v>1303</v>
      </c>
      <c r="D39" s="159" t="s">
        <v>270</v>
      </c>
      <c r="E39" s="192">
        <v>2013</v>
      </c>
      <c r="F39" s="162" t="s">
        <v>1934</v>
      </c>
      <c r="G39" s="162" t="s">
        <v>252</v>
      </c>
      <c r="H39" s="163" t="str">
        <f t="shared" si="28"/>
        <v>UM</v>
      </c>
      <c r="I39" s="163" t="s">
        <v>148</v>
      </c>
      <c r="J39" s="162" t="s">
        <v>183</v>
      </c>
      <c r="K39" s="162" t="s">
        <v>151</v>
      </c>
      <c r="L39" s="162" t="s">
        <v>352</v>
      </c>
      <c r="M39" s="162" t="s">
        <v>2013</v>
      </c>
      <c r="N39" s="163" t="s">
        <v>148</v>
      </c>
      <c r="O39" s="162" t="s">
        <v>153</v>
      </c>
      <c r="P39" s="162" t="s">
        <v>253</v>
      </c>
      <c r="Q39" s="162" t="s">
        <v>252</v>
      </c>
      <c r="R39" s="192">
        <v>2010</v>
      </c>
      <c r="S39" s="194">
        <v>1440</v>
      </c>
      <c r="T39" s="194">
        <f>IF(ISNUMBER(S39),S39/VLOOKUP($Q39,xRates!$A$1:$AA$267,studies!$R39-xRates!$B$1+2,FALSE),S39)</f>
        <v>45.446361379682102</v>
      </c>
      <c r="V39" s="194"/>
      <c r="W39" s="163" t="s">
        <v>157</v>
      </c>
      <c r="X39" s="163" t="s">
        <v>157</v>
      </c>
      <c r="Y39" s="163" t="s">
        <v>148</v>
      </c>
      <c r="Z39" s="163" t="s">
        <v>148</v>
      </c>
      <c r="AA39" s="163" t="s">
        <v>148</v>
      </c>
      <c r="AB39" s="163" t="s">
        <v>159</v>
      </c>
      <c r="AC39" s="192">
        <v>1368072</v>
      </c>
      <c r="AD39" s="192">
        <f>AC39/xRates!$P$194</f>
        <v>43176.315628766977</v>
      </c>
      <c r="AE39" s="192" t="str">
        <f t="shared" si="11"/>
        <v>No</v>
      </c>
      <c r="AF39" s="192">
        <f t="shared" si="29"/>
        <v>5076.3398719999996</v>
      </c>
      <c r="AG39" s="159" t="str">
        <f t="shared" si="12"/>
        <v>Not cost-effective</v>
      </c>
      <c r="AH39" s="159" t="str">
        <f t="shared" si="13"/>
        <v>Not cost-effective</v>
      </c>
      <c r="AI39" s="198">
        <f t="shared" si="14"/>
        <v>8.5054028527361343</v>
      </c>
      <c r="AJ39" s="198">
        <f t="shared" si="30"/>
        <v>1.1200000000000001</v>
      </c>
      <c r="AK39" s="159" t="str">
        <f t="shared" si="15"/>
        <v>Not cost-effective</v>
      </c>
      <c r="AL39" s="198">
        <f t="shared" si="31"/>
        <v>0.7</v>
      </c>
      <c r="AM39" s="162" t="str">
        <f t="shared" si="16"/>
        <v>Not cost-effective</v>
      </c>
      <c r="AN39" s="198">
        <f t="shared" si="32"/>
        <v>0.63924009905265922</v>
      </c>
      <c r="AO39" s="159" t="str">
        <f t="shared" si="17"/>
        <v>Not cost-effective</v>
      </c>
      <c r="AP39" s="198">
        <f t="shared" si="33"/>
        <v>0.19146400126329965</v>
      </c>
      <c r="AQ39" s="159" t="str">
        <f t="shared" si="18"/>
        <v>Not cost-effective</v>
      </c>
      <c r="AR39" s="198">
        <f t="shared" si="34"/>
        <v>0.65485399346386453</v>
      </c>
      <c r="AS39" s="159" t="str">
        <f t="shared" si="19"/>
        <v>Not cost-effective</v>
      </c>
      <c r="AT39" s="198">
        <f t="shared" si="35"/>
        <v>0.27145930340502455</v>
      </c>
      <c r="AU39" s="159" t="str">
        <f t="shared" si="20"/>
        <v>Not cost-effective</v>
      </c>
      <c r="AV39" s="162" t="s">
        <v>275</v>
      </c>
      <c r="AW39" s="162" t="s">
        <v>1993</v>
      </c>
      <c r="AX39" s="168" t="str">
        <f t="shared" si="21"/>
        <v/>
      </c>
      <c r="AY39" s="168" t="str">
        <f t="shared" si="22"/>
        <v/>
      </c>
      <c r="AZ39" s="163" t="str">
        <f t="shared" si="23"/>
        <v/>
      </c>
      <c r="BA39" s="163" t="str">
        <f t="shared" si="24"/>
        <v/>
      </c>
      <c r="BB39" s="163" t="str">
        <f t="shared" si="25"/>
        <v/>
      </c>
      <c r="BC39" s="163" t="str">
        <f t="shared" si="26"/>
        <v/>
      </c>
      <c r="BD39" s="163">
        <f t="shared" si="27"/>
        <v>0</v>
      </c>
      <c r="BE39" s="163" t="s">
        <v>157</v>
      </c>
      <c r="BF39" s="162" t="s">
        <v>1426</v>
      </c>
    </row>
    <row r="40" spans="1:58">
      <c r="A40" s="159">
        <f t="shared" si="36"/>
        <v>13</v>
      </c>
      <c r="B40" s="159">
        <f t="shared" si="37"/>
        <v>4</v>
      </c>
      <c r="C40" s="190" t="str">
        <f t="shared" si="0"/>
        <v>1304</v>
      </c>
      <c r="D40" s="159" t="s">
        <v>270</v>
      </c>
      <c r="E40" s="192">
        <v>2013</v>
      </c>
      <c r="F40" s="162" t="s">
        <v>1934</v>
      </c>
      <c r="G40" s="162" t="s">
        <v>252</v>
      </c>
      <c r="H40" s="163" t="str">
        <f t="shared" si="28"/>
        <v>UM</v>
      </c>
      <c r="I40" s="163" t="s">
        <v>148</v>
      </c>
      <c r="J40" s="162" t="s">
        <v>183</v>
      </c>
      <c r="K40" s="162" t="s">
        <v>151</v>
      </c>
      <c r="L40" s="162" t="s">
        <v>352</v>
      </c>
      <c r="M40" s="162" t="s">
        <v>2014</v>
      </c>
      <c r="N40" s="163" t="s">
        <v>157</v>
      </c>
      <c r="O40" s="162" t="s">
        <v>153</v>
      </c>
      <c r="P40" s="162" t="s">
        <v>253</v>
      </c>
      <c r="Q40" s="162" t="s">
        <v>252</v>
      </c>
      <c r="R40" s="192">
        <v>2010</v>
      </c>
      <c r="S40" s="194">
        <v>1440</v>
      </c>
      <c r="T40" s="194">
        <f>IF(ISNUMBER(S40),S40/VLOOKUP($Q40,xRates!$A$1:$AA$267,studies!$R40-xRates!$B$1+2,FALSE),S40)</f>
        <v>45.446361379682102</v>
      </c>
      <c r="V40" s="194"/>
      <c r="W40" s="163" t="s">
        <v>157</v>
      </c>
      <c r="X40" s="163" t="s">
        <v>157</v>
      </c>
      <c r="Y40" s="163" t="s">
        <v>148</v>
      </c>
      <c r="Z40" s="163" t="s">
        <v>148</v>
      </c>
      <c r="AA40" s="163" t="s">
        <v>148</v>
      </c>
      <c r="AB40" s="163" t="s">
        <v>159</v>
      </c>
      <c r="AC40" s="192">
        <v>1677379</v>
      </c>
      <c r="AD40" s="192">
        <f>AC40/xRates!$P$194</f>
        <v>52938.036253256796</v>
      </c>
      <c r="AE40" s="192" t="str">
        <f t="shared" si="11"/>
        <v>No</v>
      </c>
      <c r="AF40" s="192">
        <f t="shared" si="29"/>
        <v>5076.3398719999996</v>
      </c>
      <c r="AG40" s="159" t="str">
        <f t="shared" si="12"/>
        <v>Not cost-effective</v>
      </c>
      <c r="AH40" s="159" t="str">
        <f t="shared" si="13"/>
        <v>Not cost-effective</v>
      </c>
      <c r="AI40" s="198">
        <f t="shared" si="14"/>
        <v>10.428386906332186</v>
      </c>
      <c r="AJ40" s="198">
        <f t="shared" si="30"/>
        <v>1.1200000000000001</v>
      </c>
      <c r="AK40" s="159" t="str">
        <f t="shared" si="15"/>
        <v>Not cost-effective</v>
      </c>
      <c r="AL40" s="198">
        <f t="shared" si="31"/>
        <v>0.7</v>
      </c>
      <c r="AM40" s="162" t="str">
        <f t="shared" si="16"/>
        <v>Not cost-effective</v>
      </c>
      <c r="AN40" s="198">
        <f t="shared" si="32"/>
        <v>0.63924009905265922</v>
      </c>
      <c r="AO40" s="159" t="str">
        <f t="shared" si="17"/>
        <v>Not cost-effective</v>
      </c>
      <c r="AP40" s="198">
        <f t="shared" si="33"/>
        <v>0.19146400126329965</v>
      </c>
      <c r="AQ40" s="159" t="str">
        <f t="shared" si="18"/>
        <v>Not cost-effective</v>
      </c>
      <c r="AR40" s="198">
        <f t="shared" si="34"/>
        <v>0.65485399346386453</v>
      </c>
      <c r="AS40" s="159" t="str">
        <f t="shared" si="19"/>
        <v>Not cost-effective</v>
      </c>
      <c r="AT40" s="198">
        <f t="shared" si="35"/>
        <v>0.27145930340502455</v>
      </c>
      <c r="AU40" s="159" t="str">
        <f t="shared" si="20"/>
        <v>Not cost-effective</v>
      </c>
      <c r="AV40" s="162" t="s">
        <v>275</v>
      </c>
      <c r="AW40" s="162" t="s">
        <v>1993</v>
      </c>
      <c r="AX40" s="168" t="str">
        <f t="shared" si="21"/>
        <v/>
      </c>
      <c r="AY40" s="168" t="str">
        <f t="shared" si="22"/>
        <v/>
      </c>
      <c r="AZ40" s="163" t="str">
        <f t="shared" si="23"/>
        <v/>
      </c>
      <c r="BA40" s="163" t="str">
        <f t="shared" si="24"/>
        <v/>
      </c>
      <c r="BB40" s="163" t="str">
        <f t="shared" si="25"/>
        <v/>
      </c>
      <c r="BC40" s="163" t="str">
        <f t="shared" si="26"/>
        <v/>
      </c>
      <c r="BD40" s="163">
        <f t="shared" si="27"/>
        <v>0</v>
      </c>
      <c r="BE40" s="163" t="s">
        <v>157</v>
      </c>
      <c r="BF40" s="162" t="s">
        <v>1426</v>
      </c>
    </row>
    <row r="41" spans="1:58">
      <c r="A41" s="159">
        <f t="shared" si="36"/>
        <v>13</v>
      </c>
      <c r="B41" s="159">
        <f t="shared" si="37"/>
        <v>5</v>
      </c>
      <c r="C41" s="190" t="str">
        <f t="shared" si="0"/>
        <v>1305</v>
      </c>
      <c r="D41" s="159" t="s">
        <v>270</v>
      </c>
      <c r="E41" s="192">
        <v>2013</v>
      </c>
      <c r="F41" s="162" t="s">
        <v>1934</v>
      </c>
      <c r="G41" s="162" t="s">
        <v>252</v>
      </c>
      <c r="H41" s="163" t="str">
        <f t="shared" si="28"/>
        <v>UM</v>
      </c>
      <c r="I41" s="163" t="s">
        <v>148</v>
      </c>
      <c r="J41" s="162" t="s">
        <v>186</v>
      </c>
      <c r="K41" s="162" t="s">
        <v>151</v>
      </c>
      <c r="L41" s="162" t="s">
        <v>353</v>
      </c>
      <c r="M41" s="162" t="s">
        <v>2013</v>
      </c>
      <c r="N41" s="163" t="s">
        <v>157</v>
      </c>
      <c r="O41" s="162" t="s">
        <v>153</v>
      </c>
      <c r="P41" s="162" t="s">
        <v>253</v>
      </c>
      <c r="Q41" s="162" t="s">
        <v>252</v>
      </c>
      <c r="R41" s="192">
        <v>2010</v>
      </c>
      <c r="S41" s="194">
        <v>1930</v>
      </c>
      <c r="T41" s="194">
        <f>IF(ISNUMBER(S41),S41/VLOOKUP($Q41,xRates!$A$1:$AA$267,studies!$R41-xRates!$B$1+2,FALSE),S41)</f>
        <v>60.910748238046153</v>
      </c>
      <c r="V41" s="194"/>
      <c r="W41" s="163" t="s">
        <v>148</v>
      </c>
      <c r="X41" s="163" t="s">
        <v>148</v>
      </c>
      <c r="Y41" s="163" t="s">
        <v>148</v>
      </c>
      <c r="Z41" s="163" t="s">
        <v>148</v>
      </c>
      <c r="AA41" s="163" t="s">
        <v>148</v>
      </c>
      <c r="AB41" s="163" t="s">
        <v>159</v>
      </c>
      <c r="AC41" s="192">
        <v>527378</v>
      </c>
      <c r="AD41" s="192">
        <f>AC41/xRates!$P$194</f>
        <v>16644.035535898602</v>
      </c>
      <c r="AE41" s="192" t="str">
        <f t="shared" si="11"/>
        <v>No</v>
      </c>
      <c r="AF41" s="192">
        <f t="shared" si="29"/>
        <v>5076.3398719999996</v>
      </c>
      <c r="AG41" s="159" t="str">
        <f t="shared" si="12"/>
        <v>Not cost-effective</v>
      </c>
      <c r="AH41" s="159" t="str">
        <f t="shared" si="13"/>
        <v>Not cost-effective</v>
      </c>
      <c r="AI41" s="198">
        <f t="shared" si="14"/>
        <v>3.2787472776800324</v>
      </c>
      <c r="AJ41" s="198">
        <f t="shared" si="30"/>
        <v>1.1200000000000001</v>
      </c>
      <c r="AK41" s="159" t="str">
        <f t="shared" si="15"/>
        <v>Not cost-effective</v>
      </c>
      <c r="AL41" s="198">
        <f t="shared" si="31"/>
        <v>0.7</v>
      </c>
      <c r="AM41" s="162" t="str">
        <f t="shared" si="16"/>
        <v>Not cost-effective</v>
      </c>
      <c r="AN41" s="198">
        <f t="shared" si="32"/>
        <v>0.63924009905265922</v>
      </c>
      <c r="AO41" s="159" t="str">
        <f t="shared" si="17"/>
        <v>Not cost-effective</v>
      </c>
      <c r="AP41" s="198">
        <f t="shared" si="33"/>
        <v>0.19146400126329965</v>
      </c>
      <c r="AQ41" s="159" t="str">
        <f t="shared" si="18"/>
        <v>Not cost-effective</v>
      </c>
      <c r="AR41" s="198">
        <f t="shared" si="34"/>
        <v>0.65485399346386453</v>
      </c>
      <c r="AS41" s="159" t="str">
        <f t="shared" si="19"/>
        <v>Not cost-effective</v>
      </c>
      <c r="AT41" s="198">
        <f t="shared" si="35"/>
        <v>0.27145930340502455</v>
      </c>
      <c r="AU41" s="159" t="str">
        <f t="shared" si="20"/>
        <v>Not cost-effective</v>
      </c>
      <c r="AV41" s="162" t="s">
        <v>275</v>
      </c>
      <c r="AW41" s="162" t="s">
        <v>1993</v>
      </c>
      <c r="AX41" s="168" t="str">
        <f t="shared" si="21"/>
        <v/>
      </c>
      <c r="AY41" s="168" t="str">
        <f t="shared" si="22"/>
        <v/>
      </c>
      <c r="AZ41" s="163" t="str">
        <f t="shared" si="23"/>
        <v/>
      </c>
      <c r="BA41" s="163" t="str">
        <f t="shared" si="24"/>
        <v/>
      </c>
      <c r="BB41" s="163" t="str">
        <f t="shared" si="25"/>
        <v/>
      </c>
      <c r="BC41" s="163" t="str">
        <f t="shared" si="26"/>
        <v/>
      </c>
      <c r="BD41" s="163">
        <f t="shared" si="27"/>
        <v>0</v>
      </c>
      <c r="BE41" s="163" t="s">
        <v>157</v>
      </c>
      <c r="BF41" s="162" t="s">
        <v>1426</v>
      </c>
    </row>
    <row r="42" spans="1:58">
      <c r="A42" s="159">
        <f t="shared" si="36"/>
        <v>13</v>
      </c>
      <c r="B42" s="159">
        <f t="shared" si="37"/>
        <v>6</v>
      </c>
      <c r="C42" s="190" t="str">
        <f t="shared" si="0"/>
        <v>1306</v>
      </c>
      <c r="D42" s="159" t="s">
        <v>270</v>
      </c>
      <c r="E42" s="192">
        <v>2013</v>
      </c>
      <c r="F42" s="162" t="s">
        <v>1934</v>
      </c>
      <c r="G42" s="162" t="s">
        <v>252</v>
      </c>
      <c r="H42" s="163" t="str">
        <f t="shared" si="28"/>
        <v>UM</v>
      </c>
      <c r="I42" s="163" t="s">
        <v>148</v>
      </c>
      <c r="J42" s="162" t="s">
        <v>186</v>
      </c>
      <c r="K42" s="162" t="s">
        <v>151</v>
      </c>
      <c r="L42" s="162" t="s">
        <v>353</v>
      </c>
      <c r="M42" s="162" t="s">
        <v>2014</v>
      </c>
      <c r="N42" s="163" t="s">
        <v>157</v>
      </c>
      <c r="O42" s="162" t="s">
        <v>153</v>
      </c>
      <c r="P42" s="162" t="s">
        <v>253</v>
      </c>
      <c r="Q42" s="162" t="s">
        <v>252</v>
      </c>
      <c r="R42" s="192">
        <v>2010</v>
      </c>
      <c r="S42" s="194">
        <v>1930</v>
      </c>
      <c r="T42" s="194">
        <f>IF(ISNUMBER(S42),S42/VLOOKUP($Q42,xRates!$A$1:$AA$267,studies!$R42-xRates!$B$1+2,FALSE),S42)</f>
        <v>60.910748238046153</v>
      </c>
      <c r="V42" s="194"/>
      <c r="W42" s="163" t="s">
        <v>148</v>
      </c>
      <c r="X42" s="163" t="s">
        <v>148</v>
      </c>
      <c r="Y42" s="163" t="s">
        <v>148</v>
      </c>
      <c r="Z42" s="163" t="s">
        <v>148</v>
      </c>
      <c r="AA42" s="163" t="s">
        <v>148</v>
      </c>
      <c r="AB42" s="163" t="s">
        <v>159</v>
      </c>
      <c r="AC42" s="192">
        <v>660662</v>
      </c>
      <c r="AD42" s="192">
        <f>AC42/xRates!$P$194</f>
        <v>20850.475001266346</v>
      </c>
      <c r="AE42" s="192" t="str">
        <f t="shared" si="11"/>
        <v>No</v>
      </c>
      <c r="AF42" s="192">
        <f t="shared" si="29"/>
        <v>5076.3398719999996</v>
      </c>
      <c r="AG42" s="159" t="str">
        <f t="shared" si="12"/>
        <v>Not cost-effective</v>
      </c>
      <c r="AH42" s="159" t="str">
        <f t="shared" si="13"/>
        <v>Not cost-effective</v>
      </c>
      <c r="AI42" s="198">
        <f t="shared" si="14"/>
        <v>4.1073835730095789</v>
      </c>
      <c r="AJ42" s="198">
        <f t="shared" si="30"/>
        <v>1.1200000000000001</v>
      </c>
      <c r="AK42" s="159" t="str">
        <f t="shared" si="15"/>
        <v>Not cost-effective</v>
      </c>
      <c r="AL42" s="198">
        <f t="shared" si="31"/>
        <v>0.7</v>
      </c>
      <c r="AM42" s="162" t="str">
        <f t="shared" si="16"/>
        <v>Not cost-effective</v>
      </c>
      <c r="AN42" s="198">
        <f t="shared" si="32"/>
        <v>0.63924009905265922</v>
      </c>
      <c r="AO42" s="159" t="str">
        <f t="shared" si="17"/>
        <v>Not cost-effective</v>
      </c>
      <c r="AP42" s="198">
        <f t="shared" si="33"/>
        <v>0.19146400126329965</v>
      </c>
      <c r="AQ42" s="159" t="str">
        <f t="shared" si="18"/>
        <v>Not cost-effective</v>
      </c>
      <c r="AR42" s="198">
        <f t="shared" si="34"/>
        <v>0.65485399346386453</v>
      </c>
      <c r="AS42" s="159" t="str">
        <f t="shared" si="19"/>
        <v>Not cost-effective</v>
      </c>
      <c r="AT42" s="198">
        <f t="shared" si="35"/>
        <v>0.27145930340502455</v>
      </c>
      <c r="AU42" s="159" t="str">
        <f t="shared" si="20"/>
        <v>Not cost-effective</v>
      </c>
      <c r="AV42" s="162" t="s">
        <v>275</v>
      </c>
      <c r="AW42" s="162" t="s">
        <v>1993</v>
      </c>
      <c r="AX42" s="168" t="str">
        <f t="shared" si="21"/>
        <v/>
      </c>
      <c r="AY42" s="168" t="str">
        <f t="shared" si="22"/>
        <v/>
      </c>
      <c r="AZ42" s="163" t="str">
        <f t="shared" si="23"/>
        <v/>
      </c>
      <c r="BA42" s="163" t="str">
        <f t="shared" si="24"/>
        <v/>
      </c>
      <c r="BB42" s="163" t="str">
        <f t="shared" si="25"/>
        <v/>
      </c>
      <c r="BC42" s="163" t="str">
        <f t="shared" si="26"/>
        <v/>
      </c>
      <c r="BD42" s="163">
        <f t="shared" si="27"/>
        <v>0</v>
      </c>
      <c r="BE42" s="163" t="s">
        <v>157</v>
      </c>
      <c r="BF42" s="162" t="s">
        <v>1426</v>
      </c>
    </row>
    <row r="43" spans="1:58">
      <c r="A43" s="159">
        <f t="shared" si="36"/>
        <v>13</v>
      </c>
      <c r="B43" s="159">
        <f t="shared" si="37"/>
        <v>7</v>
      </c>
      <c r="C43" s="190" t="str">
        <f t="shared" si="0"/>
        <v>1307</v>
      </c>
      <c r="D43" s="159" t="s">
        <v>270</v>
      </c>
      <c r="E43" s="192">
        <v>2013</v>
      </c>
      <c r="F43" s="162" t="s">
        <v>1934</v>
      </c>
      <c r="G43" s="162" t="s">
        <v>252</v>
      </c>
      <c r="H43" s="163" t="str">
        <f t="shared" si="28"/>
        <v>UM</v>
      </c>
      <c r="I43" s="163" t="s">
        <v>148</v>
      </c>
      <c r="J43" s="162" t="s">
        <v>186</v>
      </c>
      <c r="K43" s="162" t="s">
        <v>151</v>
      </c>
      <c r="L43" s="162" t="s">
        <v>353</v>
      </c>
      <c r="M43" s="162" t="s">
        <v>2013</v>
      </c>
      <c r="N43" s="163" t="s">
        <v>148</v>
      </c>
      <c r="O43" s="162" t="s">
        <v>153</v>
      </c>
      <c r="P43" s="162" t="s">
        <v>253</v>
      </c>
      <c r="Q43" s="162" t="s">
        <v>252</v>
      </c>
      <c r="R43" s="192">
        <v>2010</v>
      </c>
      <c r="S43" s="194">
        <v>1930</v>
      </c>
      <c r="T43" s="194">
        <f>IF(ISNUMBER(S43),S43/VLOOKUP($Q43,xRates!$A$1:$AA$267,studies!$R43-xRates!$B$1+2,FALSE),S43)</f>
        <v>60.910748238046153</v>
      </c>
      <c r="V43" s="194"/>
      <c r="W43" s="163" t="s">
        <v>157</v>
      </c>
      <c r="X43" s="163" t="s">
        <v>157</v>
      </c>
      <c r="Y43" s="163" t="s">
        <v>148</v>
      </c>
      <c r="Z43" s="163" t="s">
        <v>148</v>
      </c>
      <c r="AA43" s="163" t="s">
        <v>148</v>
      </c>
      <c r="AB43" s="163" t="s">
        <v>159</v>
      </c>
      <c r="AC43" s="192">
        <v>1490305</v>
      </c>
      <c r="AD43" s="192">
        <f>AC43/xRates!$P$194</f>
        <v>47033.985830518846</v>
      </c>
      <c r="AE43" s="192" t="str">
        <f t="shared" si="11"/>
        <v>No</v>
      </c>
      <c r="AF43" s="192">
        <f t="shared" si="29"/>
        <v>5076.3398719999996</v>
      </c>
      <c r="AG43" s="159" t="str">
        <f t="shared" si="12"/>
        <v>Not cost-effective</v>
      </c>
      <c r="AH43" s="159" t="str">
        <f t="shared" si="13"/>
        <v>Not cost-effective</v>
      </c>
      <c r="AI43" s="198">
        <f t="shared" si="14"/>
        <v>9.2653342795166669</v>
      </c>
      <c r="AJ43" s="198">
        <f t="shared" si="30"/>
        <v>1.1200000000000001</v>
      </c>
      <c r="AK43" s="159" t="str">
        <f t="shared" si="15"/>
        <v>Not cost-effective</v>
      </c>
      <c r="AL43" s="198">
        <f t="shared" si="31"/>
        <v>0.7</v>
      </c>
      <c r="AM43" s="162" t="str">
        <f t="shared" si="16"/>
        <v>Not cost-effective</v>
      </c>
      <c r="AN43" s="198">
        <f t="shared" si="32"/>
        <v>0.63924009905265922</v>
      </c>
      <c r="AO43" s="159" t="str">
        <f t="shared" si="17"/>
        <v>Not cost-effective</v>
      </c>
      <c r="AP43" s="198">
        <f t="shared" si="33"/>
        <v>0.19146400126329965</v>
      </c>
      <c r="AQ43" s="159" t="str">
        <f t="shared" si="18"/>
        <v>Not cost-effective</v>
      </c>
      <c r="AR43" s="198">
        <f t="shared" si="34"/>
        <v>0.65485399346386453</v>
      </c>
      <c r="AS43" s="159" t="str">
        <f t="shared" si="19"/>
        <v>Not cost-effective</v>
      </c>
      <c r="AT43" s="198">
        <f t="shared" si="35"/>
        <v>0.27145930340502455</v>
      </c>
      <c r="AU43" s="159" t="str">
        <f t="shared" si="20"/>
        <v>Not cost-effective</v>
      </c>
      <c r="AV43" s="162" t="s">
        <v>275</v>
      </c>
      <c r="AW43" s="162" t="s">
        <v>1993</v>
      </c>
      <c r="AX43" s="168" t="str">
        <f t="shared" si="21"/>
        <v/>
      </c>
      <c r="AY43" s="168" t="str">
        <f t="shared" si="22"/>
        <v/>
      </c>
      <c r="AZ43" s="163" t="str">
        <f t="shared" si="23"/>
        <v/>
      </c>
      <c r="BA43" s="163" t="str">
        <f t="shared" si="24"/>
        <v/>
      </c>
      <c r="BB43" s="163" t="str">
        <f t="shared" si="25"/>
        <v/>
      </c>
      <c r="BC43" s="163" t="str">
        <f t="shared" si="26"/>
        <v/>
      </c>
      <c r="BD43" s="163">
        <f t="shared" si="27"/>
        <v>0</v>
      </c>
      <c r="BE43" s="163" t="s">
        <v>157</v>
      </c>
      <c r="BF43" s="162" t="s">
        <v>1426</v>
      </c>
    </row>
    <row r="44" spans="1:58">
      <c r="A44" s="159">
        <f t="shared" si="36"/>
        <v>13</v>
      </c>
      <c r="B44" s="159">
        <f t="shared" si="37"/>
        <v>8</v>
      </c>
      <c r="C44" s="190" t="str">
        <f t="shared" si="0"/>
        <v>1308</v>
      </c>
      <c r="D44" s="159" t="s">
        <v>270</v>
      </c>
      <c r="E44" s="192">
        <v>2013</v>
      </c>
      <c r="F44" s="162" t="s">
        <v>1934</v>
      </c>
      <c r="G44" s="162" t="s">
        <v>252</v>
      </c>
      <c r="H44" s="163" t="str">
        <f t="shared" si="28"/>
        <v>UM</v>
      </c>
      <c r="I44" s="163" t="s">
        <v>148</v>
      </c>
      <c r="J44" s="162" t="s">
        <v>186</v>
      </c>
      <c r="K44" s="162" t="s">
        <v>151</v>
      </c>
      <c r="L44" s="162" t="s">
        <v>353</v>
      </c>
      <c r="M44" s="162" t="s">
        <v>2014</v>
      </c>
      <c r="N44" s="163" t="s">
        <v>157</v>
      </c>
      <c r="O44" s="162" t="s">
        <v>153</v>
      </c>
      <c r="P44" s="162" t="s">
        <v>253</v>
      </c>
      <c r="Q44" s="162" t="s">
        <v>252</v>
      </c>
      <c r="R44" s="192">
        <v>2010</v>
      </c>
      <c r="S44" s="194">
        <v>1930</v>
      </c>
      <c r="T44" s="194">
        <f>IF(ISNUMBER(S44),S44/VLOOKUP($Q44,xRates!$A$1:$AA$267,studies!$R44-xRates!$B$1+2,FALSE),S44)</f>
        <v>60.910748238046153</v>
      </c>
      <c r="V44" s="194"/>
      <c r="W44" s="163" t="s">
        <v>157</v>
      </c>
      <c r="X44" s="163" t="s">
        <v>157</v>
      </c>
      <c r="Y44" s="163" t="s">
        <v>148</v>
      </c>
      <c r="Z44" s="163" t="s">
        <v>148</v>
      </c>
      <c r="AA44" s="163" t="s">
        <v>148</v>
      </c>
      <c r="AB44" s="163" t="s">
        <v>159</v>
      </c>
      <c r="AC44" s="192">
        <v>1830716</v>
      </c>
      <c r="AD44" s="192">
        <f>AC44/xRates!$P$194</f>
        <v>57777.347860809794</v>
      </c>
      <c r="AE44" s="192" t="str">
        <f t="shared" si="11"/>
        <v>No</v>
      </c>
      <c r="AF44" s="192">
        <f t="shared" si="29"/>
        <v>5076.3398719999996</v>
      </c>
      <c r="AG44" s="159" t="str">
        <f t="shared" si="12"/>
        <v>Not cost-effective</v>
      </c>
      <c r="AH44" s="159" t="str">
        <f t="shared" si="13"/>
        <v>Not cost-effective</v>
      </c>
      <c r="AI44" s="198">
        <f t="shared" si="14"/>
        <v>11.381694157142086</v>
      </c>
      <c r="AJ44" s="198">
        <f t="shared" si="30"/>
        <v>1.1200000000000001</v>
      </c>
      <c r="AK44" s="159" t="str">
        <f t="shared" si="15"/>
        <v>Not cost-effective</v>
      </c>
      <c r="AL44" s="198">
        <f t="shared" si="31"/>
        <v>0.7</v>
      </c>
      <c r="AM44" s="162" t="str">
        <f t="shared" si="16"/>
        <v>Not cost-effective</v>
      </c>
      <c r="AN44" s="198">
        <f t="shared" si="32"/>
        <v>0.63924009905265922</v>
      </c>
      <c r="AO44" s="159" t="str">
        <f t="shared" si="17"/>
        <v>Not cost-effective</v>
      </c>
      <c r="AP44" s="198">
        <f t="shared" si="33"/>
        <v>0.19146400126329965</v>
      </c>
      <c r="AQ44" s="159" t="str">
        <f t="shared" si="18"/>
        <v>Not cost-effective</v>
      </c>
      <c r="AR44" s="198">
        <f t="shared" si="34"/>
        <v>0.65485399346386453</v>
      </c>
      <c r="AS44" s="159" t="str">
        <f t="shared" si="19"/>
        <v>Not cost-effective</v>
      </c>
      <c r="AT44" s="198">
        <f t="shared" si="35"/>
        <v>0.27145930340502455</v>
      </c>
      <c r="AU44" s="159" t="str">
        <f t="shared" si="20"/>
        <v>Not cost-effective</v>
      </c>
      <c r="AV44" s="162" t="s">
        <v>275</v>
      </c>
      <c r="AW44" s="162" t="s">
        <v>1993</v>
      </c>
      <c r="AX44" s="168" t="str">
        <f t="shared" si="21"/>
        <v/>
      </c>
      <c r="AY44" s="168" t="str">
        <f t="shared" si="22"/>
        <v/>
      </c>
      <c r="AZ44" s="163" t="str">
        <f t="shared" si="23"/>
        <v/>
      </c>
      <c r="BA44" s="163" t="str">
        <f t="shared" si="24"/>
        <v/>
      </c>
      <c r="BB44" s="163" t="str">
        <f t="shared" si="25"/>
        <v/>
      </c>
      <c r="BC44" s="163" t="str">
        <f t="shared" si="26"/>
        <v/>
      </c>
      <c r="BD44" s="163">
        <f t="shared" si="27"/>
        <v>0</v>
      </c>
      <c r="BE44" s="163" t="s">
        <v>157</v>
      </c>
      <c r="BF44" s="162" t="s">
        <v>1426</v>
      </c>
    </row>
    <row r="45" spans="1:58">
      <c r="A45" s="159">
        <f t="shared" si="36"/>
        <v>14</v>
      </c>
      <c r="B45" s="159">
        <f t="shared" si="37"/>
        <v>1</v>
      </c>
      <c r="C45" s="190" t="str">
        <f t="shared" si="0"/>
        <v>1401</v>
      </c>
      <c r="D45" s="159" t="s">
        <v>24</v>
      </c>
      <c r="E45" s="192">
        <v>2015</v>
      </c>
      <c r="F45" s="162" t="s">
        <v>1935</v>
      </c>
      <c r="G45" s="162" t="s">
        <v>285</v>
      </c>
      <c r="H45" s="163" t="str">
        <f t="shared" si="28"/>
        <v>LM</v>
      </c>
      <c r="I45" s="163" t="s">
        <v>148</v>
      </c>
      <c r="J45" s="162" t="s">
        <v>183</v>
      </c>
      <c r="K45" s="162" t="s">
        <v>151</v>
      </c>
      <c r="L45" s="162" t="s">
        <v>352</v>
      </c>
      <c r="M45" s="162" t="s">
        <v>2013</v>
      </c>
      <c r="N45" s="163" t="s">
        <v>148</v>
      </c>
      <c r="O45" s="162" t="s">
        <v>1979</v>
      </c>
      <c r="P45" s="162" t="s">
        <v>286</v>
      </c>
      <c r="Q45" s="162" t="s">
        <v>285</v>
      </c>
      <c r="R45" s="192">
        <v>2013</v>
      </c>
      <c r="S45" s="194">
        <v>624</v>
      </c>
      <c r="T45" s="194">
        <f>IF(ISNUMBER(S45),S45/VLOOKUP($Q45,xRates!$A$1:$AA$267,studies!$R45-xRates!$B$1+2,FALSE),S45)</f>
        <v>14.700967884139789</v>
      </c>
      <c r="V45" s="194"/>
      <c r="W45" s="163" t="s">
        <v>148</v>
      </c>
      <c r="X45" s="163" t="s">
        <v>157</v>
      </c>
      <c r="Y45" s="163" t="s">
        <v>148</v>
      </c>
      <c r="Z45" s="163" t="s">
        <v>148</v>
      </c>
      <c r="AA45" s="163" t="s">
        <v>148</v>
      </c>
      <c r="AB45" s="163" t="s">
        <v>159</v>
      </c>
      <c r="AC45" s="192">
        <v>68182</v>
      </c>
      <c r="AD45" s="192">
        <f>AC45/xRates!$S$157</f>
        <v>1606.3163337763128</v>
      </c>
      <c r="AE45" s="192" t="str">
        <f t="shared" si="11"/>
        <v>No</v>
      </c>
      <c r="AF45" s="192">
        <f t="shared" si="29"/>
        <v>2871.4297013483701</v>
      </c>
      <c r="AG45" s="159" t="str">
        <f t="shared" si="12"/>
        <v>Cost-effective</v>
      </c>
      <c r="AH45" s="159" t="str">
        <f t="shared" si="13"/>
        <v>Cost-effective</v>
      </c>
      <c r="AI45" s="198">
        <f t="shared" si="14"/>
        <v>0.55941342844716568</v>
      </c>
      <c r="AJ45" s="198">
        <f t="shared" si="30"/>
        <v>0.34</v>
      </c>
      <c r="AK45" s="159" t="str">
        <f t="shared" si="15"/>
        <v>Not cost-effective</v>
      </c>
      <c r="AL45" s="198">
        <f t="shared" si="31"/>
        <v>0.23</v>
      </c>
      <c r="AM45" s="162" t="str">
        <f t="shared" si="16"/>
        <v>Not cost-effective</v>
      </c>
      <c r="AN45" s="198">
        <f t="shared" si="32"/>
        <v>0.49487542715488553</v>
      </c>
      <c r="AO45" s="159" t="str">
        <f t="shared" si="17"/>
        <v>Not cost-effective</v>
      </c>
      <c r="AP45" s="198">
        <f t="shared" si="33"/>
        <v>8.9154193773153201E-2</v>
      </c>
      <c r="AQ45" s="159" t="str">
        <f t="shared" si="18"/>
        <v>Not cost-effective</v>
      </c>
      <c r="AR45" s="198">
        <f t="shared" si="34"/>
        <v>0.40196929445560992</v>
      </c>
      <c r="AS45" s="159" t="str">
        <f t="shared" si="19"/>
        <v>Not cost-effective</v>
      </c>
      <c r="AT45" s="198">
        <f t="shared" si="35"/>
        <v>0.16182061532688366</v>
      </c>
      <c r="AU45" s="159" t="str">
        <f t="shared" si="20"/>
        <v>Not cost-effective</v>
      </c>
      <c r="AV45" s="162" t="s">
        <v>289</v>
      </c>
      <c r="AW45" s="162" t="s">
        <v>1995</v>
      </c>
      <c r="AX45" s="168">
        <f t="shared" si="21"/>
        <v>1</v>
      </c>
      <c r="AY45" s="168">
        <f t="shared" si="22"/>
        <v>1</v>
      </c>
      <c r="AZ45" s="163">
        <f t="shared" si="23"/>
        <v>1</v>
      </c>
      <c r="BA45" s="163">
        <f t="shared" si="24"/>
        <v>1</v>
      </c>
      <c r="BB45" s="163">
        <f t="shared" si="25"/>
        <v>1</v>
      </c>
      <c r="BC45" s="163">
        <f t="shared" si="26"/>
        <v>1</v>
      </c>
      <c r="BD45" s="163">
        <f t="shared" si="27"/>
        <v>6</v>
      </c>
      <c r="BE45" s="163" t="s">
        <v>148</v>
      </c>
      <c r="BF45" s="162" t="s">
        <v>1426</v>
      </c>
    </row>
    <row r="46" spans="1:58">
      <c r="A46" s="159">
        <f t="shared" si="36"/>
        <v>14</v>
      </c>
      <c r="B46" s="159">
        <f t="shared" si="37"/>
        <v>2</v>
      </c>
      <c r="C46" s="190" t="str">
        <f t="shared" si="0"/>
        <v>1402</v>
      </c>
      <c r="D46" s="159" t="s">
        <v>24</v>
      </c>
      <c r="E46" s="192">
        <v>2015</v>
      </c>
      <c r="F46" s="162" t="s">
        <v>1935</v>
      </c>
      <c r="G46" s="162" t="s">
        <v>285</v>
      </c>
      <c r="H46" s="163" t="str">
        <f t="shared" si="28"/>
        <v>LM</v>
      </c>
      <c r="I46" s="163" t="s">
        <v>148</v>
      </c>
      <c r="J46" s="162" t="s">
        <v>183</v>
      </c>
      <c r="K46" s="162" t="s">
        <v>151</v>
      </c>
      <c r="L46" s="162" t="s">
        <v>352</v>
      </c>
      <c r="M46" s="162" t="s">
        <v>2013</v>
      </c>
      <c r="N46" s="163" t="s">
        <v>157</v>
      </c>
      <c r="O46" s="162" t="s">
        <v>1979</v>
      </c>
      <c r="P46" s="162" t="s">
        <v>286</v>
      </c>
      <c r="Q46" s="162" t="s">
        <v>285</v>
      </c>
      <c r="R46" s="192">
        <v>2013</v>
      </c>
      <c r="S46" s="194">
        <v>624</v>
      </c>
      <c r="T46" s="194">
        <f>IF(ISNUMBER(S46),S46/VLOOKUP($Q46,xRates!$A$1:$AA$267,studies!$R46-xRates!$B$1+2,FALSE),S46)</f>
        <v>14.700967884139789</v>
      </c>
      <c r="V46" s="194"/>
      <c r="W46" s="163" t="s">
        <v>157</v>
      </c>
      <c r="X46" s="163" t="s">
        <v>157</v>
      </c>
      <c r="Y46" s="163" t="s">
        <v>148</v>
      </c>
      <c r="Z46" s="163" t="s">
        <v>148</v>
      </c>
      <c r="AA46" s="163" t="s">
        <v>148</v>
      </c>
      <c r="AB46" s="163" t="s">
        <v>159</v>
      </c>
      <c r="AC46" s="192">
        <v>112640</v>
      </c>
      <c r="AD46" s="192">
        <f>AC46/xRates!$S$157</f>
        <v>2653.7131770344645</v>
      </c>
      <c r="AE46" s="192" t="str">
        <f t="shared" si="11"/>
        <v>No</v>
      </c>
      <c r="AF46" s="192">
        <f t="shared" si="29"/>
        <v>2871.4297013483701</v>
      </c>
      <c r="AG46" s="159" t="str">
        <f t="shared" si="12"/>
        <v>Cost-effective</v>
      </c>
      <c r="AH46" s="159" t="str">
        <f t="shared" si="13"/>
        <v>Cost-effective</v>
      </c>
      <c r="AI46" s="198">
        <f t="shared" si="14"/>
        <v>0.92417835470195564</v>
      </c>
      <c r="AJ46" s="198">
        <f t="shared" si="30"/>
        <v>0.34</v>
      </c>
      <c r="AK46" s="159" t="str">
        <f t="shared" si="15"/>
        <v>Not cost-effective</v>
      </c>
      <c r="AL46" s="198">
        <f t="shared" si="31"/>
        <v>0.23</v>
      </c>
      <c r="AM46" s="162" t="str">
        <f t="shared" si="16"/>
        <v>Not cost-effective</v>
      </c>
      <c r="AN46" s="198">
        <f t="shared" si="32"/>
        <v>0.49487542715488553</v>
      </c>
      <c r="AO46" s="159" t="str">
        <f t="shared" si="17"/>
        <v>Not cost-effective</v>
      </c>
      <c r="AP46" s="198">
        <f t="shared" si="33"/>
        <v>8.9154193773153201E-2</v>
      </c>
      <c r="AQ46" s="159" t="str">
        <f t="shared" si="18"/>
        <v>Not cost-effective</v>
      </c>
      <c r="AR46" s="198">
        <f t="shared" si="34"/>
        <v>0.40196929445560992</v>
      </c>
      <c r="AS46" s="159" t="str">
        <f t="shared" si="19"/>
        <v>Not cost-effective</v>
      </c>
      <c r="AT46" s="198">
        <f t="shared" si="35"/>
        <v>0.16182061532688366</v>
      </c>
      <c r="AU46" s="159" t="str">
        <f t="shared" si="20"/>
        <v>Not cost-effective</v>
      </c>
      <c r="AV46" s="162" t="s">
        <v>289</v>
      </c>
      <c r="AW46" s="162" t="s">
        <v>1995</v>
      </c>
      <c r="AX46" s="168">
        <f t="shared" si="21"/>
        <v>1</v>
      </c>
      <c r="AY46" s="168">
        <f t="shared" si="22"/>
        <v>1</v>
      </c>
      <c r="AZ46" s="163">
        <f t="shared" si="23"/>
        <v>1</v>
      </c>
      <c r="BA46" s="163">
        <f t="shared" si="24"/>
        <v>1</v>
      </c>
      <c r="BB46" s="163">
        <f t="shared" si="25"/>
        <v>1</v>
      </c>
      <c r="BC46" s="163">
        <f t="shared" si="26"/>
        <v>1</v>
      </c>
      <c r="BD46" s="163">
        <f t="shared" si="27"/>
        <v>6</v>
      </c>
      <c r="BE46" s="163" t="s">
        <v>148</v>
      </c>
      <c r="BF46" s="162" t="s">
        <v>1426</v>
      </c>
    </row>
    <row r="47" spans="1:58">
      <c r="A47" s="159">
        <f t="shared" si="36"/>
        <v>14</v>
      </c>
      <c r="B47" s="159">
        <f t="shared" si="37"/>
        <v>3</v>
      </c>
      <c r="C47" s="190" t="str">
        <f t="shared" si="0"/>
        <v>1403</v>
      </c>
      <c r="D47" s="159" t="s">
        <v>24</v>
      </c>
      <c r="E47" s="192">
        <v>2015</v>
      </c>
      <c r="F47" s="162" t="s">
        <v>1935</v>
      </c>
      <c r="G47" s="162" t="s">
        <v>285</v>
      </c>
      <c r="H47" s="163" t="str">
        <f t="shared" si="28"/>
        <v>LM</v>
      </c>
      <c r="I47" s="163" t="s">
        <v>148</v>
      </c>
      <c r="J47" s="162" t="s">
        <v>186</v>
      </c>
      <c r="K47" s="162" t="s">
        <v>151</v>
      </c>
      <c r="L47" s="162" t="s">
        <v>353</v>
      </c>
      <c r="M47" s="162" t="s">
        <v>2013</v>
      </c>
      <c r="N47" s="163" t="s">
        <v>148</v>
      </c>
      <c r="O47" s="162" t="s">
        <v>1979</v>
      </c>
      <c r="P47" s="162" t="s">
        <v>286</v>
      </c>
      <c r="Q47" s="162" t="s">
        <v>285</v>
      </c>
      <c r="R47" s="192">
        <v>2013</v>
      </c>
      <c r="S47" s="194">
        <v>700</v>
      </c>
      <c r="T47" s="194">
        <f>IF(ISNUMBER(S47),S47/VLOOKUP($Q47,xRates!$A$1:$AA$267,studies!$R47-xRates!$B$1+2,FALSE),S47)</f>
        <v>16.491470382849123</v>
      </c>
      <c r="V47" s="194"/>
      <c r="W47" s="163" t="s">
        <v>148</v>
      </c>
      <c r="X47" s="163" t="s">
        <v>157</v>
      </c>
      <c r="Y47" s="163" t="s">
        <v>148</v>
      </c>
      <c r="Z47" s="163" t="s">
        <v>148</v>
      </c>
      <c r="AA47" s="163" t="s">
        <v>148</v>
      </c>
      <c r="AB47" s="163" t="s">
        <v>159</v>
      </c>
      <c r="AC47" s="192">
        <v>54510</v>
      </c>
      <c r="AD47" s="192">
        <f>AC47/xRates!$S$157</f>
        <v>1284.2143579558654</v>
      </c>
      <c r="AE47" s="192" t="str">
        <f t="shared" si="11"/>
        <v>No</v>
      </c>
      <c r="AF47" s="192">
        <f t="shared" si="29"/>
        <v>2871.4297013483701</v>
      </c>
      <c r="AG47" s="159" t="str">
        <f t="shared" si="12"/>
        <v>Cost-effective</v>
      </c>
      <c r="AH47" s="159" t="str">
        <f t="shared" si="13"/>
        <v>Cost-effective</v>
      </c>
      <c r="AI47" s="198">
        <f t="shared" si="14"/>
        <v>0.44723865513852634</v>
      </c>
      <c r="AJ47" s="198">
        <f t="shared" si="30"/>
        <v>0.34</v>
      </c>
      <c r="AK47" s="159" t="str">
        <f t="shared" si="15"/>
        <v>Not cost-effective</v>
      </c>
      <c r="AL47" s="198">
        <f t="shared" si="31"/>
        <v>0.23</v>
      </c>
      <c r="AM47" s="162" t="str">
        <f t="shared" si="16"/>
        <v>Not cost-effective</v>
      </c>
      <c r="AN47" s="198">
        <f t="shared" si="32"/>
        <v>0.49487542715488553</v>
      </c>
      <c r="AO47" s="159" t="str">
        <f t="shared" si="17"/>
        <v>Cost-effective</v>
      </c>
      <c r="AP47" s="198">
        <f t="shared" si="33"/>
        <v>8.9154193773153201E-2</v>
      </c>
      <c r="AQ47" s="159" t="str">
        <f t="shared" si="18"/>
        <v>Not cost-effective</v>
      </c>
      <c r="AR47" s="198">
        <f t="shared" si="34"/>
        <v>0.40196929445560992</v>
      </c>
      <c r="AS47" s="159" t="str">
        <f t="shared" si="19"/>
        <v>Not cost-effective</v>
      </c>
      <c r="AT47" s="198">
        <f t="shared" si="35"/>
        <v>0.16182061532688366</v>
      </c>
      <c r="AU47" s="159" t="str">
        <f t="shared" si="20"/>
        <v>Not cost-effective</v>
      </c>
      <c r="AV47" s="162" t="s">
        <v>289</v>
      </c>
      <c r="AW47" s="162" t="s">
        <v>1995</v>
      </c>
      <c r="AX47" s="168">
        <f t="shared" si="21"/>
        <v>1</v>
      </c>
      <c r="AY47" s="168">
        <f t="shared" si="22"/>
        <v>1</v>
      </c>
      <c r="AZ47" s="163">
        <f t="shared" si="23"/>
        <v>0</v>
      </c>
      <c r="BA47" s="163">
        <f t="shared" si="24"/>
        <v>1</v>
      </c>
      <c r="BB47" s="163">
        <f t="shared" si="25"/>
        <v>1</v>
      </c>
      <c r="BC47" s="163">
        <f t="shared" si="26"/>
        <v>1</v>
      </c>
      <c r="BD47" s="163">
        <f t="shared" si="27"/>
        <v>5</v>
      </c>
      <c r="BE47" s="163" t="s">
        <v>148</v>
      </c>
      <c r="BF47" s="162" t="s">
        <v>1426</v>
      </c>
    </row>
    <row r="48" spans="1:58">
      <c r="A48" s="159">
        <f t="shared" si="36"/>
        <v>14</v>
      </c>
      <c r="B48" s="159">
        <f t="shared" si="37"/>
        <v>4</v>
      </c>
      <c r="C48" s="190" t="str">
        <f t="shared" si="0"/>
        <v>1404</v>
      </c>
      <c r="D48" s="159" t="s">
        <v>24</v>
      </c>
      <c r="E48" s="192">
        <v>2015</v>
      </c>
      <c r="F48" s="162" t="s">
        <v>1935</v>
      </c>
      <c r="G48" s="162" t="s">
        <v>285</v>
      </c>
      <c r="H48" s="163" t="str">
        <f t="shared" si="28"/>
        <v>LM</v>
      </c>
      <c r="I48" s="163" t="s">
        <v>148</v>
      </c>
      <c r="J48" s="162" t="s">
        <v>186</v>
      </c>
      <c r="K48" s="162" t="s">
        <v>151</v>
      </c>
      <c r="L48" s="162" t="s">
        <v>353</v>
      </c>
      <c r="M48" s="162" t="s">
        <v>2013</v>
      </c>
      <c r="N48" s="163" t="s">
        <v>157</v>
      </c>
      <c r="O48" s="162" t="s">
        <v>1979</v>
      </c>
      <c r="P48" s="162" t="s">
        <v>286</v>
      </c>
      <c r="Q48" s="162" t="s">
        <v>285</v>
      </c>
      <c r="R48" s="192">
        <v>2013</v>
      </c>
      <c r="S48" s="194">
        <v>700</v>
      </c>
      <c r="T48" s="194">
        <f>IF(ISNUMBER(S48),S48/VLOOKUP($Q48,xRates!$A$1:$AA$267,studies!$R48-xRates!$B$1+2,FALSE),S48)</f>
        <v>16.491470382849123</v>
      </c>
      <c r="V48" s="194"/>
      <c r="W48" s="163" t="s">
        <v>157</v>
      </c>
      <c r="X48" s="163" t="s">
        <v>157</v>
      </c>
      <c r="Y48" s="163" t="s">
        <v>148</v>
      </c>
      <c r="Z48" s="163" t="s">
        <v>148</v>
      </c>
      <c r="AA48" s="163" t="s">
        <v>148</v>
      </c>
      <c r="AB48" s="163" t="s">
        <v>159</v>
      </c>
      <c r="AC48" s="192">
        <v>84654</v>
      </c>
      <c r="AD48" s="192">
        <f>AC48/xRates!$S$157</f>
        <v>1994.3841911281568</v>
      </c>
      <c r="AE48" s="192" t="str">
        <f t="shared" si="11"/>
        <v>No</v>
      </c>
      <c r="AF48" s="192">
        <f t="shared" si="29"/>
        <v>2871.4297013483701</v>
      </c>
      <c r="AG48" s="159" t="str">
        <f t="shared" si="12"/>
        <v>Cost-effective</v>
      </c>
      <c r="AH48" s="159" t="str">
        <f t="shared" si="13"/>
        <v>Cost-effective</v>
      </c>
      <c r="AI48" s="198">
        <f t="shared" si="14"/>
        <v>0.69456138528887923</v>
      </c>
      <c r="AJ48" s="198">
        <f t="shared" si="30"/>
        <v>0.34</v>
      </c>
      <c r="AK48" s="159" t="str">
        <f t="shared" si="15"/>
        <v>Not cost-effective</v>
      </c>
      <c r="AL48" s="198">
        <f t="shared" si="31"/>
        <v>0.23</v>
      </c>
      <c r="AM48" s="162" t="str">
        <f t="shared" si="16"/>
        <v>Not cost-effective</v>
      </c>
      <c r="AN48" s="198">
        <f t="shared" si="32"/>
        <v>0.49487542715488553</v>
      </c>
      <c r="AO48" s="159" t="str">
        <f t="shared" si="17"/>
        <v>Not cost-effective</v>
      </c>
      <c r="AP48" s="198">
        <f t="shared" si="33"/>
        <v>8.9154193773153201E-2</v>
      </c>
      <c r="AQ48" s="159" t="str">
        <f t="shared" si="18"/>
        <v>Not cost-effective</v>
      </c>
      <c r="AR48" s="198">
        <f t="shared" si="34"/>
        <v>0.40196929445560992</v>
      </c>
      <c r="AS48" s="159" t="str">
        <f t="shared" si="19"/>
        <v>Not cost-effective</v>
      </c>
      <c r="AT48" s="198">
        <f t="shared" si="35"/>
        <v>0.16182061532688366</v>
      </c>
      <c r="AU48" s="159" t="str">
        <f t="shared" si="20"/>
        <v>Not cost-effective</v>
      </c>
      <c r="AV48" s="162" t="s">
        <v>289</v>
      </c>
      <c r="AW48" s="162" t="s">
        <v>1995</v>
      </c>
      <c r="AX48" s="168">
        <f t="shared" si="21"/>
        <v>1</v>
      </c>
      <c r="AY48" s="168">
        <f t="shared" si="22"/>
        <v>1</v>
      </c>
      <c r="AZ48" s="163">
        <f t="shared" si="23"/>
        <v>1</v>
      </c>
      <c r="BA48" s="163">
        <f t="shared" si="24"/>
        <v>1</v>
      </c>
      <c r="BB48" s="163">
        <f t="shared" si="25"/>
        <v>1</v>
      </c>
      <c r="BC48" s="163">
        <f t="shared" si="26"/>
        <v>1</v>
      </c>
      <c r="BD48" s="163">
        <f t="shared" si="27"/>
        <v>6</v>
      </c>
      <c r="BE48" s="163" t="s">
        <v>148</v>
      </c>
      <c r="BF48" s="162" t="s">
        <v>1426</v>
      </c>
    </row>
    <row r="49" spans="1:58">
      <c r="A49" s="159">
        <f t="shared" si="36"/>
        <v>14</v>
      </c>
      <c r="B49" s="159">
        <f t="shared" si="37"/>
        <v>5</v>
      </c>
      <c r="C49" s="190" t="str">
        <f t="shared" si="0"/>
        <v>1405</v>
      </c>
      <c r="D49" s="159" t="s">
        <v>24</v>
      </c>
      <c r="E49" s="192">
        <v>2015</v>
      </c>
      <c r="F49" s="162" t="s">
        <v>1935</v>
      </c>
      <c r="G49" s="162" t="s">
        <v>285</v>
      </c>
      <c r="H49" s="163" t="str">
        <f t="shared" si="28"/>
        <v>LM</v>
      </c>
      <c r="I49" s="163" t="s">
        <v>148</v>
      </c>
      <c r="J49" s="162" t="s">
        <v>186</v>
      </c>
      <c r="K49" s="162" t="s">
        <v>183</v>
      </c>
      <c r="L49" s="162" t="s">
        <v>371</v>
      </c>
      <c r="M49" s="162" t="s">
        <v>2013</v>
      </c>
      <c r="N49" s="163" t="s">
        <v>148</v>
      </c>
      <c r="O49" s="162" t="s">
        <v>1979</v>
      </c>
      <c r="P49" s="162" t="s">
        <v>286</v>
      </c>
      <c r="Q49" s="162" t="s">
        <v>285</v>
      </c>
      <c r="R49" s="192">
        <v>2013</v>
      </c>
      <c r="S49" s="194">
        <v>700</v>
      </c>
      <c r="T49" s="194">
        <f>IF(ISNUMBER(S49),S49/VLOOKUP($Q49,xRates!$A$1:$AA$267,studies!$R49-xRates!$B$1+2,FALSE),S49)</f>
        <v>16.491470382849123</v>
      </c>
      <c r="U49" s="163">
        <v>624</v>
      </c>
      <c r="V49" s="194">
        <v>14.700967884139789</v>
      </c>
      <c r="W49" s="163" t="s">
        <v>148</v>
      </c>
      <c r="X49" s="163" t="s">
        <v>157</v>
      </c>
      <c r="Y49" s="163" t="s">
        <v>148</v>
      </c>
      <c r="Z49" s="163" t="s">
        <v>148</v>
      </c>
      <c r="AA49" s="163" t="s">
        <v>148</v>
      </c>
      <c r="AB49" s="163" t="s">
        <v>159</v>
      </c>
      <c r="AC49" s="192">
        <v>15795</v>
      </c>
      <c r="AD49" s="192">
        <f>AC49/xRates!$S$157</f>
        <v>372.11824956728844</v>
      </c>
      <c r="AE49" s="192" t="str">
        <f t="shared" si="11"/>
        <v>No</v>
      </c>
      <c r="AF49" s="192">
        <f t="shared" si="29"/>
        <v>2871.4297013483701</v>
      </c>
      <c r="AG49" s="159" t="str">
        <f t="shared" si="12"/>
        <v>Cost-effective</v>
      </c>
      <c r="AH49" s="159" t="str">
        <f t="shared" si="13"/>
        <v>Cost-effective</v>
      </c>
      <c r="AI49" s="198">
        <f t="shared" si="14"/>
        <v>0.12959336925175241</v>
      </c>
      <c r="AJ49" s="198">
        <f t="shared" si="30"/>
        <v>0.34</v>
      </c>
      <c r="AK49" s="159" t="str">
        <f t="shared" si="15"/>
        <v>Cost-effective</v>
      </c>
      <c r="AL49" s="198">
        <f t="shared" si="31"/>
        <v>0.23</v>
      </c>
      <c r="AM49" s="162" t="str">
        <f t="shared" si="16"/>
        <v>Cost-effective</v>
      </c>
      <c r="AN49" s="198">
        <f t="shared" si="32"/>
        <v>0.49487542715488553</v>
      </c>
      <c r="AO49" s="159" t="str">
        <f t="shared" si="17"/>
        <v>Cost-effective</v>
      </c>
      <c r="AP49" s="198">
        <f t="shared" si="33"/>
        <v>8.9154193773153201E-2</v>
      </c>
      <c r="AQ49" s="159" t="str">
        <f t="shared" si="18"/>
        <v>Not cost-effective</v>
      </c>
      <c r="AR49" s="198">
        <f t="shared" si="34"/>
        <v>0.40196929445560992</v>
      </c>
      <c r="AS49" s="159" t="str">
        <f t="shared" si="19"/>
        <v>Cost-effective</v>
      </c>
      <c r="AT49" s="198">
        <f t="shared" si="35"/>
        <v>0.16182061532688366</v>
      </c>
      <c r="AU49" s="159" t="str">
        <f t="shared" si="20"/>
        <v>Cost-effective</v>
      </c>
      <c r="AV49" s="162" t="s">
        <v>289</v>
      </c>
      <c r="AW49" s="162" t="s">
        <v>1995</v>
      </c>
      <c r="AX49" s="168">
        <f t="shared" si="21"/>
        <v>0</v>
      </c>
      <c r="AY49" s="168">
        <f t="shared" si="22"/>
        <v>0</v>
      </c>
      <c r="AZ49" s="163">
        <f t="shared" si="23"/>
        <v>0</v>
      </c>
      <c r="BA49" s="163">
        <f t="shared" si="24"/>
        <v>1</v>
      </c>
      <c r="BB49" s="163">
        <f t="shared" si="25"/>
        <v>0</v>
      </c>
      <c r="BC49" s="163">
        <f t="shared" si="26"/>
        <v>0</v>
      </c>
      <c r="BD49" s="163">
        <f t="shared" si="27"/>
        <v>1</v>
      </c>
      <c r="BE49" s="163" t="s">
        <v>148</v>
      </c>
      <c r="BF49" s="162" t="s">
        <v>1426</v>
      </c>
    </row>
    <row r="50" spans="1:58">
      <c r="A50" s="159">
        <f t="shared" si="36"/>
        <v>14</v>
      </c>
      <c r="B50" s="159">
        <f t="shared" si="37"/>
        <v>6</v>
      </c>
      <c r="C50" s="190" t="str">
        <f t="shared" si="0"/>
        <v>1406</v>
      </c>
      <c r="D50" s="159" t="s">
        <v>24</v>
      </c>
      <c r="E50" s="192">
        <v>2015</v>
      </c>
      <c r="F50" s="162" t="s">
        <v>1935</v>
      </c>
      <c r="G50" s="162" t="s">
        <v>285</v>
      </c>
      <c r="H50" s="163" t="str">
        <f t="shared" si="28"/>
        <v>LM</v>
      </c>
      <c r="I50" s="163" t="s">
        <v>148</v>
      </c>
      <c r="J50" s="162" t="s">
        <v>186</v>
      </c>
      <c r="K50" s="162" t="s">
        <v>183</v>
      </c>
      <c r="L50" s="162" t="s">
        <v>371</v>
      </c>
      <c r="M50" s="162" t="s">
        <v>2013</v>
      </c>
      <c r="N50" s="163" t="s">
        <v>157</v>
      </c>
      <c r="O50" s="162" t="s">
        <v>1979</v>
      </c>
      <c r="P50" s="162" t="s">
        <v>286</v>
      </c>
      <c r="Q50" s="162" t="s">
        <v>285</v>
      </c>
      <c r="R50" s="192">
        <v>2013</v>
      </c>
      <c r="S50" s="194">
        <v>700</v>
      </c>
      <c r="T50" s="194">
        <f>IF(ISNUMBER(S50),S50/VLOOKUP($Q50,xRates!$A$1:$AA$267,studies!$R50-xRates!$B$1+2,FALSE),S50)</f>
        <v>16.491470382849123</v>
      </c>
      <c r="U50" s="163">
        <v>624</v>
      </c>
      <c r="V50" s="194">
        <v>14.700967884139789</v>
      </c>
      <c r="W50" s="163" t="s">
        <v>157</v>
      </c>
      <c r="X50" s="163" t="s">
        <v>157</v>
      </c>
      <c r="Y50" s="163" t="s">
        <v>148</v>
      </c>
      <c r="Z50" s="163" t="s">
        <v>148</v>
      </c>
      <c r="AA50" s="163" t="s">
        <v>148</v>
      </c>
      <c r="AB50" s="163" t="s">
        <v>159</v>
      </c>
      <c r="AC50" s="192">
        <v>23836</v>
      </c>
      <c r="AD50" s="192">
        <f>AC50/xRates!$S$157</f>
        <v>561.55812577941674</v>
      </c>
      <c r="AE50" s="192" t="str">
        <f t="shared" si="11"/>
        <v>No</v>
      </c>
      <c r="AF50" s="192">
        <f t="shared" si="29"/>
        <v>2871.4297013483701</v>
      </c>
      <c r="AG50" s="159" t="str">
        <f t="shared" si="12"/>
        <v>Cost-effective</v>
      </c>
      <c r="AH50" s="159" t="str">
        <f t="shared" si="13"/>
        <v>Cost-effective</v>
      </c>
      <c r="AI50" s="198">
        <f t="shared" si="14"/>
        <v>0.19556742953369866</v>
      </c>
      <c r="AJ50" s="198">
        <f t="shared" si="30"/>
        <v>0.34</v>
      </c>
      <c r="AK50" s="159" t="str">
        <f t="shared" si="15"/>
        <v>Cost-effective</v>
      </c>
      <c r="AL50" s="198">
        <f t="shared" si="31"/>
        <v>0.23</v>
      </c>
      <c r="AM50" s="162" t="str">
        <f t="shared" si="16"/>
        <v>Cost-effective</v>
      </c>
      <c r="AN50" s="198">
        <f t="shared" si="32"/>
        <v>0.49487542715488553</v>
      </c>
      <c r="AO50" s="159" t="str">
        <f t="shared" si="17"/>
        <v>Cost-effective</v>
      </c>
      <c r="AP50" s="198">
        <f t="shared" si="33"/>
        <v>8.9154193773153201E-2</v>
      </c>
      <c r="AQ50" s="159" t="str">
        <f t="shared" si="18"/>
        <v>Not cost-effective</v>
      </c>
      <c r="AR50" s="198">
        <f t="shared" si="34"/>
        <v>0.40196929445560992</v>
      </c>
      <c r="AS50" s="159" t="str">
        <f t="shared" si="19"/>
        <v>Cost-effective</v>
      </c>
      <c r="AT50" s="198">
        <f t="shared" si="35"/>
        <v>0.16182061532688366</v>
      </c>
      <c r="AU50" s="159" t="str">
        <f t="shared" si="20"/>
        <v>Not cost-effective</v>
      </c>
      <c r="AV50" s="162" t="s">
        <v>289</v>
      </c>
      <c r="AW50" s="162" t="s">
        <v>1995</v>
      </c>
      <c r="AX50" s="168">
        <f t="shared" si="21"/>
        <v>0</v>
      </c>
      <c r="AY50" s="168">
        <f t="shared" si="22"/>
        <v>0</v>
      </c>
      <c r="AZ50" s="163">
        <f t="shared" si="23"/>
        <v>0</v>
      </c>
      <c r="BA50" s="163">
        <f t="shared" si="24"/>
        <v>1</v>
      </c>
      <c r="BB50" s="163">
        <f t="shared" si="25"/>
        <v>0</v>
      </c>
      <c r="BC50" s="163">
        <f t="shared" si="26"/>
        <v>1</v>
      </c>
      <c r="BD50" s="163">
        <f t="shared" si="27"/>
        <v>2</v>
      </c>
      <c r="BE50" s="163" t="s">
        <v>148</v>
      </c>
      <c r="BF50" s="162" t="s">
        <v>1426</v>
      </c>
    </row>
    <row r="51" spans="1:58">
      <c r="A51" s="159">
        <f t="shared" si="36"/>
        <v>15</v>
      </c>
      <c r="B51" s="159">
        <f t="shared" si="37"/>
        <v>1</v>
      </c>
      <c r="C51" s="190" t="str">
        <f t="shared" si="0"/>
        <v>1501</v>
      </c>
      <c r="D51" s="159" t="s">
        <v>36</v>
      </c>
      <c r="E51" s="192">
        <v>2014</v>
      </c>
      <c r="F51" s="162" t="s">
        <v>1936</v>
      </c>
      <c r="G51" s="162" t="s">
        <v>285</v>
      </c>
      <c r="H51" s="163" t="str">
        <f t="shared" si="28"/>
        <v>LM</v>
      </c>
      <c r="I51" s="163" t="s">
        <v>148</v>
      </c>
      <c r="J51" s="162" t="s">
        <v>183</v>
      </c>
      <c r="K51" s="162" t="s">
        <v>151</v>
      </c>
      <c r="L51" s="162" t="s">
        <v>352</v>
      </c>
      <c r="M51" s="162" t="s">
        <v>2013</v>
      </c>
      <c r="N51" s="163" t="s">
        <v>148</v>
      </c>
      <c r="O51" s="162" t="s">
        <v>1979</v>
      </c>
      <c r="P51" s="162" t="s">
        <v>286</v>
      </c>
      <c r="Q51" s="162" t="s">
        <v>285</v>
      </c>
      <c r="R51" s="163">
        <v>2012</v>
      </c>
      <c r="S51" s="194">
        <v>800</v>
      </c>
      <c r="T51" s="194">
        <f>IF(ISNUMBER(S51),S51/VLOOKUP($Q51,xRates!$A$1:$AA$267,studies!$R51-xRates!$B$1+2,FALSE),S51)</f>
        <v>18.944419442263115</v>
      </c>
      <c r="V51" s="194"/>
      <c r="W51" s="163" t="s">
        <v>157</v>
      </c>
      <c r="X51" s="163" t="s">
        <v>148</v>
      </c>
      <c r="Y51" s="163" t="s">
        <v>148</v>
      </c>
      <c r="Z51" s="163" t="s">
        <v>148</v>
      </c>
      <c r="AA51" s="163" t="s">
        <v>148</v>
      </c>
      <c r="AB51" s="163" t="s">
        <v>159</v>
      </c>
      <c r="AC51" s="192">
        <v>50913</v>
      </c>
      <c r="AD51" s="192">
        <f>AC51/xRates!$R$157</f>
        <v>1205.6465338299274</v>
      </c>
      <c r="AE51" s="192" t="str">
        <f t="shared" si="11"/>
        <v>No</v>
      </c>
      <c r="AF51" s="192">
        <f t="shared" si="29"/>
        <v>2694.3051089999999</v>
      </c>
      <c r="AG51" s="159" t="str">
        <f t="shared" si="12"/>
        <v>Cost-effective</v>
      </c>
      <c r="AH51" s="159" t="str">
        <f t="shared" si="13"/>
        <v>Cost-effective</v>
      </c>
      <c r="AI51" s="198">
        <f t="shared" si="14"/>
        <v>0.44747958566481993</v>
      </c>
      <c r="AJ51" s="198">
        <f t="shared" si="30"/>
        <v>0.34</v>
      </c>
      <c r="AK51" s="159" t="str">
        <f t="shared" si="15"/>
        <v>Not cost-effective</v>
      </c>
      <c r="AL51" s="198">
        <f t="shared" si="31"/>
        <v>0.23</v>
      </c>
      <c r="AM51" s="162" t="str">
        <f t="shared" si="16"/>
        <v>Not cost-effective</v>
      </c>
      <c r="AN51" s="198">
        <f t="shared" si="32"/>
        <v>0.49487542715488553</v>
      </c>
      <c r="AO51" s="159" t="str">
        <f t="shared" si="17"/>
        <v>Cost-effective</v>
      </c>
      <c r="AP51" s="198">
        <f t="shared" si="33"/>
        <v>8.9154193773153201E-2</v>
      </c>
      <c r="AQ51" s="159" t="str">
        <f t="shared" si="18"/>
        <v>Not cost-effective</v>
      </c>
      <c r="AR51" s="198">
        <f t="shared" si="34"/>
        <v>0.40196929445560992</v>
      </c>
      <c r="AS51" s="159" t="str">
        <f t="shared" si="19"/>
        <v>Not cost-effective</v>
      </c>
      <c r="AT51" s="198">
        <f t="shared" si="35"/>
        <v>0.16182061532688366</v>
      </c>
      <c r="AU51" s="159" t="str">
        <f t="shared" si="20"/>
        <v>Not cost-effective</v>
      </c>
      <c r="AV51" s="162" t="s">
        <v>210</v>
      </c>
      <c r="AW51" s="162" t="s">
        <v>1995</v>
      </c>
      <c r="AX51" s="168">
        <f t="shared" si="21"/>
        <v>1</v>
      </c>
      <c r="AY51" s="168">
        <f t="shared" si="22"/>
        <v>1</v>
      </c>
      <c r="AZ51" s="163">
        <f t="shared" si="23"/>
        <v>0</v>
      </c>
      <c r="BA51" s="163">
        <f t="shared" si="24"/>
        <v>1</v>
      </c>
      <c r="BB51" s="163">
        <f t="shared" si="25"/>
        <v>1</v>
      </c>
      <c r="BC51" s="163">
        <f t="shared" si="26"/>
        <v>1</v>
      </c>
      <c r="BD51" s="163">
        <f t="shared" si="27"/>
        <v>5</v>
      </c>
      <c r="BE51" s="163" t="s">
        <v>157</v>
      </c>
      <c r="BF51" s="162" t="s">
        <v>1425</v>
      </c>
    </row>
    <row r="52" spans="1:58" s="173" customFormat="1">
      <c r="A52" s="159">
        <f t="shared" si="36"/>
        <v>15</v>
      </c>
      <c r="B52" s="159">
        <f t="shared" si="37"/>
        <v>2</v>
      </c>
      <c r="C52" s="191" t="str">
        <f t="shared" si="0"/>
        <v>1502</v>
      </c>
      <c r="D52" s="171" t="s">
        <v>36</v>
      </c>
      <c r="E52" s="193">
        <v>2014</v>
      </c>
      <c r="F52" s="162" t="s">
        <v>1936</v>
      </c>
      <c r="G52" s="173" t="s">
        <v>285</v>
      </c>
      <c r="H52" s="174" t="str">
        <f t="shared" si="28"/>
        <v>LM</v>
      </c>
      <c r="I52" s="174" t="s">
        <v>148</v>
      </c>
      <c r="J52" s="173" t="s">
        <v>186</v>
      </c>
      <c r="K52" s="173" t="s">
        <v>183</v>
      </c>
      <c r="L52" s="162" t="s">
        <v>371</v>
      </c>
      <c r="M52" s="173" t="s">
        <v>2013</v>
      </c>
      <c r="N52" s="174" t="s">
        <v>148</v>
      </c>
      <c r="O52" s="175" t="s">
        <v>1979</v>
      </c>
      <c r="P52" s="173" t="s">
        <v>286</v>
      </c>
      <c r="Q52" s="173" t="s">
        <v>285</v>
      </c>
      <c r="R52" s="193">
        <v>2012</v>
      </c>
      <c r="S52" s="197">
        <v>800</v>
      </c>
      <c r="T52" s="197">
        <f>IF(ISNUMBER(S52),S52/VLOOKUP($Q52,xRates!$A$1:$AA$267,studies!$R52-xRates!$B$1+2,FALSE),S52)</f>
        <v>18.944419442263115</v>
      </c>
      <c r="U52" s="174">
        <v>800</v>
      </c>
      <c r="V52" s="197">
        <v>18.944419442263115</v>
      </c>
      <c r="W52" s="174" t="s">
        <v>157</v>
      </c>
      <c r="X52" s="174" t="s">
        <v>148</v>
      </c>
      <c r="Y52" s="174" t="s">
        <v>148</v>
      </c>
      <c r="Z52" s="174" t="s">
        <v>148</v>
      </c>
      <c r="AA52" s="174" t="s">
        <v>148</v>
      </c>
      <c r="AB52" s="163" t="s">
        <v>159</v>
      </c>
      <c r="AC52" s="193">
        <v>310274.65999999997</v>
      </c>
      <c r="AD52" s="193">
        <f>AC52/xRates!$R$157</f>
        <v>7347.4666266819713</v>
      </c>
      <c r="AE52" s="192" t="str">
        <f t="shared" si="11"/>
        <v>No</v>
      </c>
      <c r="AF52" s="193">
        <f t="shared" si="29"/>
        <v>2694.3051089999999</v>
      </c>
      <c r="AG52" s="159" t="str">
        <f t="shared" si="12"/>
        <v>Not cost-effective</v>
      </c>
      <c r="AH52" s="159" t="str">
        <f t="shared" si="13"/>
        <v>Cost-effective</v>
      </c>
      <c r="AI52" s="198">
        <f t="shared" si="14"/>
        <v>2.7270358513364537</v>
      </c>
      <c r="AJ52" s="198">
        <f t="shared" si="30"/>
        <v>0.34</v>
      </c>
      <c r="AK52" s="159" t="str">
        <f t="shared" si="15"/>
        <v>Not cost-effective</v>
      </c>
      <c r="AL52" s="198">
        <f t="shared" si="31"/>
        <v>0.23</v>
      </c>
      <c r="AM52" s="162" t="str">
        <f t="shared" si="16"/>
        <v>Not cost-effective</v>
      </c>
      <c r="AN52" s="198">
        <f t="shared" si="32"/>
        <v>0.49487542715488553</v>
      </c>
      <c r="AO52" s="159" t="str">
        <f t="shared" si="17"/>
        <v>Not cost-effective</v>
      </c>
      <c r="AP52" s="198">
        <f t="shared" si="33"/>
        <v>8.9154193773153201E-2</v>
      </c>
      <c r="AQ52" s="159" t="str">
        <f t="shared" si="18"/>
        <v>Not cost-effective</v>
      </c>
      <c r="AR52" s="198">
        <f t="shared" si="34"/>
        <v>0.40196929445560992</v>
      </c>
      <c r="AS52" s="159" t="str">
        <f t="shared" si="19"/>
        <v>Not cost-effective</v>
      </c>
      <c r="AT52" s="198">
        <f t="shared" si="35"/>
        <v>0.16182061532688366</v>
      </c>
      <c r="AU52" s="159" t="str">
        <f t="shared" si="20"/>
        <v>Not cost-effective</v>
      </c>
      <c r="AV52" s="173" t="s">
        <v>210</v>
      </c>
      <c r="AW52" s="171" t="s">
        <v>1993</v>
      </c>
      <c r="AX52" s="168" t="str">
        <f t="shared" si="21"/>
        <v/>
      </c>
      <c r="AY52" s="168" t="str">
        <f t="shared" si="22"/>
        <v/>
      </c>
      <c r="AZ52" s="163" t="str">
        <f t="shared" si="23"/>
        <v/>
      </c>
      <c r="BA52" s="163" t="str">
        <f t="shared" si="24"/>
        <v/>
      </c>
      <c r="BB52" s="163" t="str">
        <f t="shared" si="25"/>
        <v/>
      </c>
      <c r="BC52" s="163" t="str">
        <f t="shared" si="26"/>
        <v/>
      </c>
      <c r="BD52" s="163">
        <f t="shared" si="27"/>
        <v>0</v>
      </c>
      <c r="BE52" s="174" t="s">
        <v>157</v>
      </c>
      <c r="BF52" s="162" t="s">
        <v>1425</v>
      </c>
    </row>
    <row r="53" spans="1:58">
      <c r="A53" s="159">
        <f t="shared" si="36"/>
        <v>16</v>
      </c>
      <c r="B53" s="159">
        <f t="shared" si="37"/>
        <v>1</v>
      </c>
      <c r="C53" s="190" t="str">
        <f t="shared" si="0"/>
        <v>1601</v>
      </c>
      <c r="D53" s="159" t="s">
        <v>305</v>
      </c>
      <c r="E53" s="192">
        <v>2017</v>
      </c>
      <c r="F53" s="162" t="s">
        <v>1937</v>
      </c>
      <c r="G53" s="162" t="s">
        <v>307</v>
      </c>
      <c r="H53" s="163" t="str">
        <f t="shared" si="28"/>
        <v>UM</v>
      </c>
      <c r="I53" s="163" t="s">
        <v>148</v>
      </c>
      <c r="J53" s="162" t="s">
        <v>186</v>
      </c>
      <c r="K53" s="162" t="s">
        <v>151</v>
      </c>
      <c r="L53" s="162" t="s">
        <v>353</v>
      </c>
      <c r="M53" s="162" t="s">
        <v>2013</v>
      </c>
      <c r="N53" s="163" t="s">
        <v>148</v>
      </c>
      <c r="O53" s="162" t="s">
        <v>153</v>
      </c>
      <c r="P53" s="162" t="s">
        <v>154</v>
      </c>
      <c r="Q53" s="162" t="s">
        <v>155</v>
      </c>
      <c r="R53" s="163">
        <v>2014</v>
      </c>
      <c r="S53" s="194">
        <v>3.3</v>
      </c>
      <c r="T53" s="194">
        <f>IF(ISNUMBER(S53),S53/VLOOKUP($Q53,xRates!$A$1:$AA$267,studies!$R53-xRates!$B$1+2,FALSE),S53)</f>
        <v>3.3</v>
      </c>
      <c r="V53" s="194"/>
      <c r="W53" s="163" t="s">
        <v>148</v>
      </c>
      <c r="X53" s="163" t="s">
        <v>148</v>
      </c>
      <c r="Y53" s="163" t="s">
        <v>148</v>
      </c>
      <c r="Z53" s="163" t="s">
        <v>148</v>
      </c>
      <c r="AA53" s="163" t="s">
        <v>148</v>
      </c>
      <c r="AB53" s="163" t="s">
        <v>247</v>
      </c>
      <c r="AC53" s="196">
        <v>-27</v>
      </c>
      <c r="AD53" s="196">
        <v>-27</v>
      </c>
      <c r="AE53" s="192" t="str">
        <f t="shared" si="11"/>
        <v>Yes</v>
      </c>
      <c r="AF53" s="196">
        <f t="shared" si="29"/>
        <v>4158.521471</v>
      </c>
      <c r="AG53" s="159" t="str">
        <f t="shared" si="12"/>
        <v>Cost-saving</v>
      </c>
      <c r="AH53" s="159" t="str">
        <f t="shared" si="13"/>
        <v>Cost-saving</v>
      </c>
      <c r="AI53" s="198">
        <f t="shared" si="14"/>
        <v>-6.4926922196477943E-3</v>
      </c>
      <c r="AJ53" s="198">
        <f t="shared" si="30"/>
        <v>0.49</v>
      </c>
      <c r="AK53" s="159" t="str">
        <f t="shared" si="15"/>
        <v>Cost-saving</v>
      </c>
      <c r="AL53" s="198">
        <f t="shared" si="31"/>
        <v>0.35</v>
      </c>
      <c r="AM53" s="162" t="str">
        <f t="shared" si="16"/>
        <v>Cost-saving</v>
      </c>
      <c r="AN53" s="198">
        <f t="shared" si="32"/>
        <v>0.47754403164042214</v>
      </c>
      <c r="AO53" s="159" t="str">
        <f t="shared" si="17"/>
        <v>Cost-saving</v>
      </c>
      <c r="AP53" s="198">
        <f t="shared" si="33"/>
        <v>0.12436758234088692</v>
      </c>
      <c r="AQ53" s="159" t="str">
        <f t="shared" si="18"/>
        <v>Cost-saving</v>
      </c>
      <c r="AR53" s="198">
        <f t="shared" si="34"/>
        <v>0.36210120888612346</v>
      </c>
      <c r="AS53" s="159" t="str">
        <f t="shared" si="19"/>
        <v>Cost-saving</v>
      </c>
      <c r="AT53" s="198">
        <f t="shared" si="35"/>
        <v>0.1457485743604334</v>
      </c>
      <c r="AU53" s="159" t="str">
        <f t="shared" si="20"/>
        <v>Cost-saving</v>
      </c>
      <c r="AV53" s="162" t="s">
        <v>210</v>
      </c>
      <c r="AW53" s="162" t="s">
        <v>1994</v>
      </c>
      <c r="AX53" s="168" t="str">
        <f t="shared" si="21"/>
        <v/>
      </c>
      <c r="AY53" s="168" t="str">
        <f t="shared" si="22"/>
        <v/>
      </c>
      <c r="AZ53" s="163" t="str">
        <f t="shared" si="23"/>
        <v/>
      </c>
      <c r="BA53" s="163" t="str">
        <f t="shared" si="24"/>
        <v/>
      </c>
      <c r="BB53" s="163" t="str">
        <f t="shared" si="25"/>
        <v/>
      </c>
      <c r="BC53" s="163" t="str">
        <f t="shared" si="26"/>
        <v/>
      </c>
      <c r="BD53" s="163">
        <f t="shared" si="27"/>
        <v>0</v>
      </c>
      <c r="BE53" s="163" t="s">
        <v>148</v>
      </c>
      <c r="BF53" s="162" t="s">
        <v>1426</v>
      </c>
    </row>
    <row r="54" spans="1:58">
      <c r="A54" s="159">
        <f t="shared" si="36"/>
        <v>16</v>
      </c>
      <c r="B54" s="159">
        <f t="shared" si="37"/>
        <v>2</v>
      </c>
      <c r="C54" s="190" t="str">
        <f t="shared" si="0"/>
        <v>1602</v>
      </c>
      <c r="D54" s="159" t="s">
        <v>305</v>
      </c>
      <c r="E54" s="192">
        <v>2017</v>
      </c>
      <c r="F54" s="162" t="s">
        <v>1937</v>
      </c>
      <c r="G54" s="162" t="s">
        <v>307</v>
      </c>
      <c r="H54" s="163" t="str">
        <f t="shared" si="28"/>
        <v>UM</v>
      </c>
      <c r="I54" s="163" t="s">
        <v>148</v>
      </c>
      <c r="J54" s="162" t="s">
        <v>186</v>
      </c>
      <c r="K54" s="162" t="s">
        <v>151</v>
      </c>
      <c r="L54" s="162" t="s">
        <v>353</v>
      </c>
      <c r="M54" s="162" t="s">
        <v>2013</v>
      </c>
      <c r="N54" s="163" t="s">
        <v>148</v>
      </c>
      <c r="O54" s="162" t="s">
        <v>1979</v>
      </c>
      <c r="P54" s="162" t="s">
        <v>154</v>
      </c>
      <c r="Q54" s="162" t="s">
        <v>155</v>
      </c>
      <c r="R54" s="163">
        <v>2014</v>
      </c>
      <c r="S54" s="194">
        <v>3.3</v>
      </c>
      <c r="T54" s="194">
        <f>IF(ISNUMBER(S54),S54/VLOOKUP($Q54,xRates!$A$1:$AA$267,studies!$R54-xRates!$B$1+2,FALSE),S54)</f>
        <v>3.3</v>
      </c>
      <c r="V54" s="194"/>
      <c r="W54" s="163" t="s">
        <v>148</v>
      </c>
      <c r="X54" s="163" t="s">
        <v>148</v>
      </c>
      <c r="Y54" s="163" t="s">
        <v>148</v>
      </c>
      <c r="Z54" s="163" t="s">
        <v>148</v>
      </c>
      <c r="AA54" s="163" t="s">
        <v>148</v>
      </c>
      <c r="AB54" s="163" t="s">
        <v>247</v>
      </c>
      <c r="AC54" s="196">
        <v>52</v>
      </c>
      <c r="AD54" s="196">
        <v>52</v>
      </c>
      <c r="AE54" s="192" t="str">
        <f t="shared" si="11"/>
        <v>No</v>
      </c>
      <c r="AF54" s="196">
        <f t="shared" si="29"/>
        <v>4158.521471</v>
      </c>
      <c r="AG54" s="159" t="str">
        <f t="shared" si="12"/>
        <v>Cost-effective</v>
      </c>
      <c r="AH54" s="159" t="str">
        <f t="shared" si="13"/>
        <v>Cost-effective</v>
      </c>
      <c r="AI54" s="198">
        <f t="shared" si="14"/>
        <v>1.2504444274877234E-2</v>
      </c>
      <c r="AJ54" s="198">
        <f t="shared" si="30"/>
        <v>0.49</v>
      </c>
      <c r="AK54" s="159" t="str">
        <f t="shared" si="15"/>
        <v>Cost-effective</v>
      </c>
      <c r="AL54" s="198">
        <f t="shared" si="31"/>
        <v>0.35</v>
      </c>
      <c r="AM54" s="162" t="str">
        <f t="shared" si="16"/>
        <v>Cost-effective</v>
      </c>
      <c r="AN54" s="198">
        <f t="shared" si="32"/>
        <v>0.47754403164042214</v>
      </c>
      <c r="AO54" s="159" t="str">
        <f t="shared" si="17"/>
        <v>Cost-effective</v>
      </c>
      <c r="AP54" s="198">
        <f t="shared" si="33"/>
        <v>0.12436758234088692</v>
      </c>
      <c r="AQ54" s="159" t="str">
        <f t="shared" si="18"/>
        <v>Cost-effective</v>
      </c>
      <c r="AR54" s="198">
        <f t="shared" si="34"/>
        <v>0.36210120888612346</v>
      </c>
      <c r="AS54" s="159" t="str">
        <f t="shared" si="19"/>
        <v>Cost-effective</v>
      </c>
      <c r="AT54" s="198">
        <f t="shared" si="35"/>
        <v>0.1457485743604334</v>
      </c>
      <c r="AU54" s="159" t="str">
        <f t="shared" si="20"/>
        <v>Cost-effective</v>
      </c>
      <c r="AV54" s="162" t="s">
        <v>210</v>
      </c>
      <c r="AW54" s="162" t="s">
        <v>1995</v>
      </c>
      <c r="AX54" s="168">
        <f t="shared" si="21"/>
        <v>0</v>
      </c>
      <c r="AY54" s="168">
        <f t="shared" si="22"/>
        <v>0</v>
      </c>
      <c r="AZ54" s="163">
        <f t="shared" si="23"/>
        <v>0</v>
      </c>
      <c r="BA54" s="163">
        <f t="shared" si="24"/>
        <v>0</v>
      </c>
      <c r="BB54" s="163">
        <f t="shared" si="25"/>
        <v>0</v>
      </c>
      <c r="BC54" s="163">
        <f t="shared" si="26"/>
        <v>0</v>
      </c>
      <c r="BD54" s="163">
        <f t="shared" si="27"/>
        <v>0</v>
      </c>
      <c r="BE54" s="163" t="s">
        <v>148</v>
      </c>
      <c r="BF54" s="162" t="s">
        <v>1426</v>
      </c>
    </row>
    <row r="55" spans="1:58">
      <c r="A55" s="159">
        <f t="shared" si="36"/>
        <v>16</v>
      </c>
      <c r="B55" s="159">
        <f t="shared" si="37"/>
        <v>3</v>
      </c>
      <c r="C55" s="190" t="str">
        <f t="shared" si="0"/>
        <v>1603</v>
      </c>
      <c r="D55" s="159" t="s">
        <v>305</v>
      </c>
      <c r="E55" s="192">
        <v>2017</v>
      </c>
      <c r="F55" s="162" t="s">
        <v>1937</v>
      </c>
      <c r="G55" s="162" t="s">
        <v>307</v>
      </c>
      <c r="H55" s="163" t="str">
        <f t="shared" si="28"/>
        <v>UM</v>
      </c>
      <c r="I55" s="163" t="s">
        <v>148</v>
      </c>
      <c r="J55" s="162" t="s">
        <v>186</v>
      </c>
      <c r="K55" s="162" t="s">
        <v>151</v>
      </c>
      <c r="L55" s="162" t="s">
        <v>353</v>
      </c>
      <c r="M55" s="162" t="s">
        <v>2013</v>
      </c>
      <c r="N55" s="163" t="s">
        <v>157</v>
      </c>
      <c r="O55" s="162" t="s">
        <v>153</v>
      </c>
      <c r="P55" s="162" t="s">
        <v>154</v>
      </c>
      <c r="Q55" s="162" t="s">
        <v>155</v>
      </c>
      <c r="R55" s="163">
        <v>2014</v>
      </c>
      <c r="S55" s="194">
        <v>3.3</v>
      </c>
      <c r="T55" s="194">
        <f>IF(ISNUMBER(S55),S55/VLOOKUP($Q55,xRates!$A$1:$AA$267,studies!$R55-xRates!$B$1+2,FALSE),S55)</f>
        <v>3.3</v>
      </c>
      <c r="V55" s="194"/>
      <c r="W55" s="163" t="s">
        <v>157</v>
      </c>
      <c r="X55" s="163" t="s">
        <v>157</v>
      </c>
      <c r="Y55" s="163" t="s">
        <v>148</v>
      </c>
      <c r="Z55" s="163" t="s">
        <v>148</v>
      </c>
      <c r="AA55" s="163" t="s">
        <v>148</v>
      </c>
      <c r="AB55" s="163" t="s">
        <v>247</v>
      </c>
      <c r="AC55" s="196">
        <v>19</v>
      </c>
      <c r="AD55" s="196">
        <v>19</v>
      </c>
      <c r="AE55" s="192" t="str">
        <f t="shared" si="11"/>
        <v>No</v>
      </c>
      <c r="AF55" s="196">
        <f t="shared" si="29"/>
        <v>4158.521471</v>
      </c>
      <c r="AG55" s="159" t="str">
        <f t="shared" si="12"/>
        <v>Cost-effective</v>
      </c>
      <c r="AH55" s="159" t="str">
        <f t="shared" si="13"/>
        <v>Cost-effective</v>
      </c>
      <c r="AI55" s="198">
        <f t="shared" si="14"/>
        <v>4.5689315619743733E-3</v>
      </c>
      <c r="AJ55" s="198">
        <f t="shared" si="30"/>
        <v>0.49</v>
      </c>
      <c r="AK55" s="159" t="str">
        <f t="shared" si="15"/>
        <v>Cost-effective</v>
      </c>
      <c r="AL55" s="198">
        <f t="shared" si="31"/>
        <v>0.35</v>
      </c>
      <c r="AM55" s="162" t="str">
        <f t="shared" si="16"/>
        <v>Cost-effective</v>
      </c>
      <c r="AN55" s="198">
        <f t="shared" si="32"/>
        <v>0.47754403164042214</v>
      </c>
      <c r="AO55" s="159" t="str">
        <f t="shared" si="17"/>
        <v>Cost-effective</v>
      </c>
      <c r="AP55" s="198">
        <f t="shared" si="33"/>
        <v>0.12436758234088692</v>
      </c>
      <c r="AQ55" s="159" t="str">
        <f t="shared" si="18"/>
        <v>Cost-effective</v>
      </c>
      <c r="AR55" s="198">
        <f t="shared" si="34"/>
        <v>0.36210120888612346</v>
      </c>
      <c r="AS55" s="159" t="str">
        <f t="shared" si="19"/>
        <v>Cost-effective</v>
      </c>
      <c r="AT55" s="198">
        <f t="shared" si="35"/>
        <v>0.1457485743604334</v>
      </c>
      <c r="AU55" s="159" t="str">
        <f t="shared" si="20"/>
        <v>Cost-effective</v>
      </c>
      <c r="AV55" s="162" t="s">
        <v>210</v>
      </c>
      <c r="AW55" s="162" t="s">
        <v>1995</v>
      </c>
      <c r="AX55" s="168">
        <f t="shared" si="21"/>
        <v>0</v>
      </c>
      <c r="AY55" s="168">
        <f t="shared" si="22"/>
        <v>0</v>
      </c>
      <c r="AZ55" s="163">
        <f t="shared" si="23"/>
        <v>0</v>
      </c>
      <c r="BA55" s="163">
        <f t="shared" si="24"/>
        <v>0</v>
      </c>
      <c r="BB55" s="163">
        <f t="shared" si="25"/>
        <v>0</v>
      </c>
      <c r="BC55" s="163">
        <f t="shared" si="26"/>
        <v>0</v>
      </c>
      <c r="BD55" s="163">
        <f t="shared" si="27"/>
        <v>0</v>
      </c>
      <c r="BE55" s="163" t="s">
        <v>148</v>
      </c>
      <c r="BF55" s="162" t="s">
        <v>1426</v>
      </c>
    </row>
    <row r="56" spans="1:58">
      <c r="A56" s="159">
        <f t="shared" si="36"/>
        <v>16</v>
      </c>
      <c r="B56" s="159">
        <f t="shared" si="37"/>
        <v>4</v>
      </c>
      <c r="C56" s="190" t="str">
        <f t="shared" si="0"/>
        <v>1604</v>
      </c>
      <c r="D56" s="159" t="s">
        <v>305</v>
      </c>
      <c r="E56" s="192">
        <v>2017</v>
      </c>
      <c r="F56" s="162" t="s">
        <v>1937</v>
      </c>
      <c r="G56" s="162" t="s">
        <v>307</v>
      </c>
      <c r="H56" s="163" t="str">
        <f t="shared" si="28"/>
        <v>UM</v>
      </c>
      <c r="I56" s="163" t="s">
        <v>148</v>
      </c>
      <c r="J56" s="162" t="s">
        <v>186</v>
      </c>
      <c r="K56" s="162" t="s">
        <v>151</v>
      </c>
      <c r="L56" s="162" t="s">
        <v>353</v>
      </c>
      <c r="M56" s="162" t="s">
        <v>2013</v>
      </c>
      <c r="N56" s="163" t="s">
        <v>157</v>
      </c>
      <c r="O56" s="162" t="s">
        <v>1979</v>
      </c>
      <c r="P56" s="162" t="s">
        <v>154</v>
      </c>
      <c r="Q56" s="162" t="s">
        <v>155</v>
      </c>
      <c r="R56" s="163">
        <v>2014</v>
      </c>
      <c r="S56" s="194">
        <v>3.3</v>
      </c>
      <c r="T56" s="194">
        <f>IF(ISNUMBER(S56),S56/VLOOKUP($Q56,xRates!$A$1:$AA$267,studies!$R56-xRates!$B$1+2,FALSE),S56)</f>
        <v>3.3</v>
      </c>
      <c r="V56" s="194"/>
      <c r="W56" s="163" t="s">
        <v>157</v>
      </c>
      <c r="X56" s="163" t="s">
        <v>157</v>
      </c>
      <c r="Y56" s="163" t="s">
        <v>148</v>
      </c>
      <c r="Z56" s="163" t="s">
        <v>148</v>
      </c>
      <c r="AA56" s="163" t="s">
        <v>148</v>
      </c>
      <c r="AB56" s="163" t="s">
        <v>247</v>
      </c>
      <c r="AC56" s="196">
        <v>79</v>
      </c>
      <c r="AD56" s="196">
        <v>79</v>
      </c>
      <c r="AE56" s="192" t="str">
        <f t="shared" si="11"/>
        <v>No</v>
      </c>
      <c r="AF56" s="196">
        <f t="shared" si="29"/>
        <v>4158.521471</v>
      </c>
      <c r="AG56" s="159" t="str">
        <f t="shared" si="12"/>
        <v>Cost-effective</v>
      </c>
      <c r="AH56" s="159" t="str">
        <f t="shared" si="13"/>
        <v>Cost-effective</v>
      </c>
      <c r="AI56" s="198">
        <f t="shared" si="14"/>
        <v>1.8997136494525026E-2</v>
      </c>
      <c r="AJ56" s="198">
        <f t="shared" si="30"/>
        <v>0.49</v>
      </c>
      <c r="AK56" s="159" t="str">
        <f t="shared" si="15"/>
        <v>Cost-effective</v>
      </c>
      <c r="AL56" s="198">
        <f t="shared" si="31"/>
        <v>0.35</v>
      </c>
      <c r="AM56" s="162" t="str">
        <f t="shared" si="16"/>
        <v>Cost-effective</v>
      </c>
      <c r="AN56" s="198">
        <f t="shared" si="32"/>
        <v>0.47754403164042214</v>
      </c>
      <c r="AO56" s="159" t="str">
        <f t="shared" si="17"/>
        <v>Cost-effective</v>
      </c>
      <c r="AP56" s="198">
        <f t="shared" si="33"/>
        <v>0.12436758234088692</v>
      </c>
      <c r="AQ56" s="159" t="str">
        <f t="shared" si="18"/>
        <v>Cost-effective</v>
      </c>
      <c r="AR56" s="198">
        <f t="shared" si="34"/>
        <v>0.36210120888612346</v>
      </c>
      <c r="AS56" s="159" t="str">
        <f t="shared" si="19"/>
        <v>Cost-effective</v>
      </c>
      <c r="AT56" s="198">
        <f t="shared" si="35"/>
        <v>0.1457485743604334</v>
      </c>
      <c r="AU56" s="159" t="str">
        <f t="shared" si="20"/>
        <v>Cost-effective</v>
      </c>
      <c r="AV56" s="162" t="s">
        <v>210</v>
      </c>
      <c r="AW56" s="162" t="s">
        <v>1995</v>
      </c>
      <c r="AX56" s="168">
        <f t="shared" si="21"/>
        <v>0</v>
      </c>
      <c r="AY56" s="168">
        <f t="shared" si="22"/>
        <v>0</v>
      </c>
      <c r="AZ56" s="163">
        <f t="shared" si="23"/>
        <v>0</v>
      </c>
      <c r="BA56" s="163">
        <f t="shared" si="24"/>
        <v>0</v>
      </c>
      <c r="BB56" s="163">
        <f t="shared" si="25"/>
        <v>0</v>
      </c>
      <c r="BC56" s="163">
        <f t="shared" si="26"/>
        <v>0</v>
      </c>
      <c r="BD56" s="163">
        <f t="shared" si="27"/>
        <v>0</v>
      </c>
      <c r="BE56" s="163" t="s">
        <v>148</v>
      </c>
      <c r="BF56" s="162" t="s">
        <v>1426</v>
      </c>
    </row>
    <row r="57" spans="1:58">
      <c r="A57" s="159">
        <f t="shared" si="36"/>
        <v>17</v>
      </c>
      <c r="B57" s="159">
        <f t="shared" si="37"/>
        <v>1</v>
      </c>
      <c r="C57" s="190" t="str">
        <f t="shared" si="0"/>
        <v>1701</v>
      </c>
      <c r="D57" s="159" t="s">
        <v>320</v>
      </c>
      <c r="E57" s="192">
        <v>2018</v>
      </c>
      <c r="F57" s="162" t="s">
        <v>1938</v>
      </c>
      <c r="G57" s="162" t="s">
        <v>322</v>
      </c>
      <c r="H57" s="163" t="str">
        <f t="shared" si="28"/>
        <v>LM</v>
      </c>
      <c r="I57" s="163" t="s">
        <v>148</v>
      </c>
      <c r="J57" s="162" t="s">
        <v>183</v>
      </c>
      <c r="K57" s="162" t="s">
        <v>151</v>
      </c>
      <c r="L57" s="162" t="s">
        <v>352</v>
      </c>
      <c r="M57" s="162" t="s">
        <v>2013</v>
      </c>
      <c r="N57" s="163" t="s">
        <v>148</v>
      </c>
      <c r="O57" s="162" t="s">
        <v>1979</v>
      </c>
      <c r="P57" s="162" t="s">
        <v>154</v>
      </c>
      <c r="Q57" s="162" t="s">
        <v>155</v>
      </c>
      <c r="R57" s="163">
        <v>2017</v>
      </c>
      <c r="S57" s="194">
        <v>3.05</v>
      </c>
      <c r="T57" s="194">
        <f>IF(ISNUMBER(S57),S57/VLOOKUP($Q57,xRates!$A$1:$AA$267,studies!$R57-xRates!$B$1+2,FALSE),S57)</f>
        <v>3.05</v>
      </c>
      <c r="V57" s="194"/>
      <c r="W57" s="163" t="s">
        <v>148</v>
      </c>
      <c r="X57" s="163" t="s">
        <v>157</v>
      </c>
      <c r="Y57" s="163" t="s">
        <v>148</v>
      </c>
      <c r="Z57" s="163" t="s">
        <v>148</v>
      </c>
      <c r="AA57" s="163" t="s">
        <v>148</v>
      </c>
      <c r="AB57" s="163" t="s">
        <v>159</v>
      </c>
      <c r="AC57" s="196">
        <v>36</v>
      </c>
      <c r="AD57" s="196">
        <v>36</v>
      </c>
      <c r="AE57" s="192" t="str">
        <f t="shared" si="11"/>
        <v>No</v>
      </c>
      <c r="AF57" s="196">
        <f t="shared" si="29"/>
        <v>3286.5967439999999</v>
      </c>
      <c r="AG57" s="159" t="str">
        <f t="shared" si="12"/>
        <v>Cost-effective</v>
      </c>
      <c r="AH57" s="159" t="str">
        <f t="shared" si="13"/>
        <v>Cost-effective</v>
      </c>
      <c r="AI57" s="198">
        <f t="shared" si="14"/>
        <v>1.0953579889507735E-2</v>
      </c>
      <c r="AJ57" s="198" t="str">
        <f t="shared" si="30"/>
        <v/>
      </c>
      <c r="AK57" s="159" t="str">
        <f t="shared" si="15"/>
        <v>Cost-effective</v>
      </c>
      <c r="AL57" s="198" t="str">
        <f t="shared" si="31"/>
        <v/>
      </c>
      <c r="AM57" s="162" t="str">
        <f t="shared" si="16"/>
        <v>Cost-effective</v>
      </c>
      <c r="AN57" s="198">
        <f t="shared" si="32"/>
        <v>0.50875051837814589</v>
      </c>
      <c r="AO57" s="159" t="str">
        <f t="shared" si="17"/>
        <v>Cost-effective</v>
      </c>
      <c r="AP57" s="198">
        <f t="shared" si="33"/>
        <v>0.10797805119790538</v>
      </c>
      <c r="AQ57" s="159" t="str">
        <f t="shared" si="18"/>
        <v>Cost-effective</v>
      </c>
      <c r="AR57" s="198">
        <f t="shared" si="34"/>
        <v>0.3421747714018003</v>
      </c>
      <c r="AS57" s="159" t="str">
        <f t="shared" si="19"/>
        <v>Cost-effective</v>
      </c>
      <c r="AT57" s="198">
        <f t="shared" si="35"/>
        <v>0.13783293342306466</v>
      </c>
      <c r="AU57" s="159" t="str">
        <f t="shared" si="20"/>
        <v>Cost-effective</v>
      </c>
      <c r="AV57" s="162" t="s">
        <v>210</v>
      </c>
      <c r="AW57" s="162" t="s">
        <v>1995</v>
      </c>
      <c r="AX57" s="168">
        <f t="shared" si="21"/>
        <v>0</v>
      </c>
      <c r="AY57" s="168">
        <f t="shared" si="22"/>
        <v>0</v>
      </c>
      <c r="AZ57" s="163">
        <f t="shared" si="23"/>
        <v>0</v>
      </c>
      <c r="BA57" s="163">
        <f t="shared" si="24"/>
        <v>0</v>
      </c>
      <c r="BB57" s="163">
        <f t="shared" si="25"/>
        <v>0</v>
      </c>
      <c r="BC57" s="163">
        <f t="shared" si="26"/>
        <v>0</v>
      </c>
      <c r="BD57" s="163">
        <f t="shared" si="27"/>
        <v>0</v>
      </c>
      <c r="BE57" s="163" t="s">
        <v>148</v>
      </c>
      <c r="BF57" s="162" t="s">
        <v>1426</v>
      </c>
    </row>
    <row r="58" spans="1:58">
      <c r="A58" s="159">
        <f t="shared" si="36"/>
        <v>17</v>
      </c>
      <c r="B58" s="159">
        <f t="shared" si="37"/>
        <v>2</v>
      </c>
      <c r="C58" s="190" t="str">
        <f t="shared" si="0"/>
        <v>1702</v>
      </c>
      <c r="D58" s="159" t="s">
        <v>320</v>
      </c>
      <c r="E58" s="192">
        <v>2018</v>
      </c>
      <c r="F58" s="162" t="s">
        <v>1938</v>
      </c>
      <c r="G58" s="162" t="s">
        <v>322</v>
      </c>
      <c r="H58" s="163" t="str">
        <f t="shared" si="28"/>
        <v>LM</v>
      </c>
      <c r="I58" s="163" t="s">
        <v>148</v>
      </c>
      <c r="J58" s="162" t="s">
        <v>186</v>
      </c>
      <c r="K58" s="162" t="s">
        <v>151</v>
      </c>
      <c r="L58" s="162" t="s">
        <v>353</v>
      </c>
      <c r="M58" s="162" t="s">
        <v>2013</v>
      </c>
      <c r="N58" s="163" t="s">
        <v>148</v>
      </c>
      <c r="O58" s="162" t="s">
        <v>1979</v>
      </c>
      <c r="P58" s="162" t="s">
        <v>154</v>
      </c>
      <c r="Q58" s="162" t="s">
        <v>155</v>
      </c>
      <c r="R58" s="163">
        <v>2017</v>
      </c>
      <c r="S58" s="194">
        <v>3.55</v>
      </c>
      <c r="T58" s="194">
        <f>IF(ISNUMBER(S58),S58/VLOOKUP($Q58,xRates!$A$1:$AA$267,studies!$R58-xRates!$B$1+2,FALSE),S58)</f>
        <v>3.55</v>
      </c>
      <c r="V58" s="194"/>
      <c r="W58" s="163" t="s">
        <v>148</v>
      </c>
      <c r="X58" s="163" t="s">
        <v>157</v>
      </c>
      <c r="Y58" s="163" t="s">
        <v>148</v>
      </c>
      <c r="Z58" s="163" t="s">
        <v>148</v>
      </c>
      <c r="AA58" s="163" t="s">
        <v>148</v>
      </c>
      <c r="AB58" s="163" t="s">
        <v>159</v>
      </c>
      <c r="AC58" s="196">
        <v>40</v>
      </c>
      <c r="AD58" s="196">
        <v>40</v>
      </c>
      <c r="AE58" s="192" t="str">
        <f t="shared" si="11"/>
        <v>No</v>
      </c>
      <c r="AF58" s="196">
        <f t="shared" si="29"/>
        <v>3286.5967439999999</v>
      </c>
      <c r="AG58" s="159" t="str">
        <f t="shared" si="12"/>
        <v>Cost-effective</v>
      </c>
      <c r="AH58" s="159" t="str">
        <f t="shared" si="13"/>
        <v>Cost-effective</v>
      </c>
      <c r="AI58" s="198">
        <f t="shared" si="14"/>
        <v>1.2170644321675261E-2</v>
      </c>
      <c r="AJ58" s="198" t="str">
        <f t="shared" si="30"/>
        <v/>
      </c>
      <c r="AK58" s="159" t="str">
        <f t="shared" si="15"/>
        <v>Cost-effective</v>
      </c>
      <c r="AL58" s="198" t="str">
        <f t="shared" si="31"/>
        <v/>
      </c>
      <c r="AM58" s="162" t="str">
        <f t="shared" si="16"/>
        <v>Cost-effective</v>
      </c>
      <c r="AN58" s="198">
        <f t="shared" si="32"/>
        <v>0.50875051837814589</v>
      </c>
      <c r="AO58" s="159" t="str">
        <f t="shared" si="17"/>
        <v>Cost-effective</v>
      </c>
      <c r="AP58" s="198">
        <f t="shared" si="33"/>
        <v>0.10797805119790538</v>
      </c>
      <c r="AQ58" s="159" t="str">
        <f t="shared" si="18"/>
        <v>Cost-effective</v>
      </c>
      <c r="AR58" s="198">
        <f t="shared" si="34"/>
        <v>0.3421747714018003</v>
      </c>
      <c r="AS58" s="159" t="str">
        <f t="shared" si="19"/>
        <v>Cost-effective</v>
      </c>
      <c r="AT58" s="198">
        <f t="shared" si="35"/>
        <v>0.13783293342306466</v>
      </c>
      <c r="AU58" s="159" t="str">
        <f t="shared" si="20"/>
        <v>Cost-effective</v>
      </c>
      <c r="AV58" s="162" t="s">
        <v>210</v>
      </c>
      <c r="AW58" s="162" t="s">
        <v>1995</v>
      </c>
      <c r="AX58" s="168">
        <f t="shared" si="21"/>
        <v>0</v>
      </c>
      <c r="AY58" s="168">
        <f t="shared" si="22"/>
        <v>0</v>
      </c>
      <c r="AZ58" s="163">
        <f t="shared" si="23"/>
        <v>0</v>
      </c>
      <c r="BA58" s="163">
        <f t="shared" si="24"/>
        <v>0</v>
      </c>
      <c r="BB58" s="163">
        <f t="shared" si="25"/>
        <v>0</v>
      </c>
      <c r="BC58" s="163">
        <f t="shared" si="26"/>
        <v>0</v>
      </c>
      <c r="BD58" s="163">
        <f t="shared" si="27"/>
        <v>0</v>
      </c>
      <c r="BE58" s="163" t="s">
        <v>148</v>
      </c>
      <c r="BF58" s="162" t="s">
        <v>1426</v>
      </c>
    </row>
    <row r="59" spans="1:58">
      <c r="A59" s="159">
        <f t="shared" si="36"/>
        <v>17</v>
      </c>
      <c r="B59" s="159">
        <f t="shared" si="37"/>
        <v>3</v>
      </c>
      <c r="C59" s="190" t="str">
        <f t="shared" si="0"/>
        <v>1703</v>
      </c>
      <c r="D59" s="159" t="s">
        <v>320</v>
      </c>
      <c r="E59" s="192">
        <v>2018</v>
      </c>
      <c r="F59" s="162" t="s">
        <v>1938</v>
      </c>
      <c r="G59" s="162" t="s">
        <v>322</v>
      </c>
      <c r="H59" s="163" t="str">
        <f t="shared" si="28"/>
        <v>LM</v>
      </c>
      <c r="I59" s="163" t="s">
        <v>148</v>
      </c>
      <c r="J59" s="162" t="s">
        <v>186</v>
      </c>
      <c r="K59" s="162" t="s">
        <v>183</v>
      </c>
      <c r="L59" s="162" t="s">
        <v>371</v>
      </c>
      <c r="M59" s="162" t="s">
        <v>2013</v>
      </c>
      <c r="N59" s="163" t="s">
        <v>148</v>
      </c>
      <c r="O59" s="162" t="s">
        <v>1979</v>
      </c>
      <c r="P59" s="162" t="s">
        <v>154</v>
      </c>
      <c r="Q59" s="162" t="s">
        <v>155</v>
      </c>
      <c r="R59" s="163">
        <v>2017</v>
      </c>
      <c r="S59" s="194">
        <v>3.55</v>
      </c>
      <c r="T59" s="194">
        <f>IF(ISNUMBER(S59),S59/VLOOKUP($Q59,xRates!$A$1:$AA$267,studies!$R59-xRates!$B$1+2,FALSE),S59)</f>
        <v>3.55</v>
      </c>
      <c r="U59" s="163">
        <v>3.05</v>
      </c>
      <c r="V59" s="194">
        <v>3.05</v>
      </c>
      <c r="W59" s="163" t="s">
        <v>148</v>
      </c>
      <c r="X59" s="163" t="s">
        <v>157</v>
      </c>
      <c r="Y59" s="163" t="s">
        <v>148</v>
      </c>
      <c r="Z59" s="163" t="s">
        <v>148</v>
      </c>
      <c r="AA59" s="163" t="s">
        <v>148</v>
      </c>
      <c r="AB59" s="163" t="s">
        <v>159</v>
      </c>
      <c r="AC59" s="196">
        <v>92</v>
      </c>
      <c r="AD59" s="196">
        <v>92</v>
      </c>
      <c r="AE59" s="192" t="str">
        <f t="shared" si="11"/>
        <v>No</v>
      </c>
      <c r="AF59" s="196">
        <f t="shared" si="29"/>
        <v>3286.5967439999999</v>
      </c>
      <c r="AG59" s="159" t="str">
        <f t="shared" si="12"/>
        <v>Cost-effective</v>
      </c>
      <c r="AH59" s="159" t="str">
        <f t="shared" si="13"/>
        <v>Cost-effective</v>
      </c>
      <c r="AI59" s="198">
        <f t="shared" si="14"/>
        <v>2.7992481939853101E-2</v>
      </c>
      <c r="AJ59" s="198" t="str">
        <f t="shared" si="30"/>
        <v/>
      </c>
      <c r="AK59" s="159" t="str">
        <f t="shared" si="15"/>
        <v>Cost-effective</v>
      </c>
      <c r="AL59" s="198" t="str">
        <f t="shared" si="31"/>
        <v/>
      </c>
      <c r="AM59" s="162" t="str">
        <f t="shared" si="16"/>
        <v>Cost-effective</v>
      </c>
      <c r="AN59" s="198">
        <f t="shared" si="32"/>
        <v>0.50875051837814589</v>
      </c>
      <c r="AO59" s="159" t="str">
        <f t="shared" si="17"/>
        <v>Cost-effective</v>
      </c>
      <c r="AP59" s="198">
        <f t="shared" si="33"/>
        <v>0.10797805119790538</v>
      </c>
      <c r="AQ59" s="159" t="str">
        <f t="shared" si="18"/>
        <v>Cost-effective</v>
      </c>
      <c r="AR59" s="198">
        <f t="shared" si="34"/>
        <v>0.3421747714018003</v>
      </c>
      <c r="AS59" s="159" t="str">
        <f t="shared" si="19"/>
        <v>Cost-effective</v>
      </c>
      <c r="AT59" s="198">
        <f t="shared" si="35"/>
        <v>0.13783293342306466</v>
      </c>
      <c r="AU59" s="159" t="str">
        <f t="shared" si="20"/>
        <v>Cost-effective</v>
      </c>
      <c r="AV59" s="162" t="s">
        <v>210</v>
      </c>
      <c r="AW59" s="162" t="s">
        <v>1995</v>
      </c>
      <c r="AX59" s="168">
        <f t="shared" si="21"/>
        <v>0</v>
      </c>
      <c r="AY59" s="168">
        <f t="shared" si="22"/>
        <v>0</v>
      </c>
      <c r="AZ59" s="163">
        <f t="shared" si="23"/>
        <v>0</v>
      </c>
      <c r="BA59" s="163">
        <f t="shared" si="24"/>
        <v>0</v>
      </c>
      <c r="BB59" s="163">
        <f t="shared" si="25"/>
        <v>0</v>
      </c>
      <c r="BC59" s="163">
        <f t="shared" si="26"/>
        <v>0</v>
      </c>
      <c r="BD59" s="163">
        <f t="shared" si="27"/>
        <v>0</v>
      </c>
      <c r="BE59" s="163" t="s">
        <v>148</v>
      </c>
      <c r="BF59" s="162" t="s">
        <v>1426</v>
      </c>
    </row>
    <row r="60" spans="1:58">
      <c r="A60" s="159">
        <f t="shared" si="36"/>
        <v>18</v>
      </c>
      <c r="B60" s="159">
        <f t="shared" si="37"/>
        <v>1</v>
      </c>
      <c r="C60" s="190" t="str">
        <f t="shared" si="0"/>
        <v>1801</v>
      </c>
      <c r="D60" s="159" t="s">
        <v>66</v>
      </c>
      <c r="E60" s="192">
        <v>2008</v>
      </c>
      <c r="F60" s="162" t="s">
        <v>1939</v>
      </c>
      <c r="G60" s="162" t="s">
        <v>330</v>
      </c>
      <c r="H60" s="163" t="str">
        <f t="shared" si="28"/>
        <v>LM</v>
      </c>
      <c r="I60" s="163" t="s">
        <v>157</v>
      </c>
      <c r="J60" s="162" t="s">
        <v>150</v>
      </c>
      <c r="K60" s="162" t="s">
        <v>151</v>
      </c>
      <c r="L60" s="162" t="s">
        <v>149</v>
      </c>
      <c r="M60" s="162" t="s">
        <v>2013</v>
      </c>
      <c r="N60" s="163" t="s">
        <v>148</v>
      </c>
      <c r="O60" s="162" t="s">
        <v>153</v>
      </c>
      <c r="P60" s="162" t="s">
        <v>154</v>
      </c>
      <c r="Q60" s="162" t="s">
        <v>155</v>
      </c>
      <c r="R60" s="163">
        <v>2004</v>
      </c>
      <c r="S60" s="194">
        <v>53</v>
      </c>
      <c r="T60" s="194">
        <f>IF(ISNUMBER(S60),S60/VLOOKUP($Q60,xRates!$A$1:$AA$267,studies!$R60-xRates!$B$1+2,FALSE),S60)</f>
        <v>53</v>
      </c>
      <c r="V60" s="194"/>
      <c r="W60" s="163" t="s">
        <v>157</v>
      </c>
      <c r="X60" s="163" t="s">
        <v>157</v>
      </c>
      <c r="Y60" s="163" t="s">
        <v>148</v>
      </c>
      <c r="Z60" s="163" t="s">
        <v>148</v>
      </c>
      <c r="AA60" s="163" t="s">
        <v>148</v>
      </c>
      <c r="AB60" s="163" t="s">
        <v>247</v>
      </c>
      <c r="AC60" s="196">
        <v>664</v>
      </c>
      <c r="AD60" s="196">
        <v>664</v>
      </c>
      <c r="AE60" s="192" t="str">
        <f t="shared" si="11"/>
        <v>No</v>
      </c>
      <c r="AF60" s="196">
        <f t="shared" si="29"/>
        <v>3637.3138899999999</v>
      </c>
      <c r="AG60" s="159" t="str">
        <f t="shared" si="12"/>
        <v>Cost-effective</v>
      </c>
      <c r="AH60" s="159" t="str">
        <f t="shared" si="13"/>
        <v>Cost-effective</v>
      </c>
      <c r="AI60" s="198">
        <f t="shared" si="14"/>
        <v>0.1825522954797833</v>
      </c>
      <c r="AJ60" s="198">
        <f t="shared" si="30"/>
        <v>1.0900000000000001</v>
      </c>
      <c r="AK60" s="159" t="str">
        <f t="shared" si="15"/>
        <v>Cost-effective</v>
      </c>
      <c r="AL60" s="198">
        <f t="shared" si="31"/>
        <v>0.71</v>
      </c>
      <c r="AM60" s="162" t="str">
        <f t="shared" si="16"/>
        <v>Cost-effective</v>
      </c>
      <c r="AN60" s="198">
        <f t="shared" si="32"/>
        <v>0.61331405073457201</v>
      </c>
      <c r="AO60" s="159" t="str">
        <f t="shared" si="17"/>
        <v>Cost-effective</v>
      </c>
      <c r="AP60" s="198">
        <f t="shared" si="33"/>
        <v>0.19454672897770822</v>
      </c>
      <c r="AQ60" s="159" t="str">
        <f t="shared" si="18"/>
        <v>Cost-effective</v>
      </c>
      <c r="AR60" s="198">
        <f t="shared" si="34"/>
        <v>1.6739433928535268</v>
      </c>
      <c r="AS60" s="159" t="str">
        <f t="shared" si="19"/>
        <v>Cost-effective</v>
      </c>
      <c r="AT60" s="198">
        <f t="shared" si="35"/>
        <v>0.69378626051328196</v>
      </c>
      <c r="AU60" s="159" t="str">
        <f t="shared" si="20"/>
        <v>Cost-effective</v>
      </c>
      <c r="AV60" s="162" t="s">
        <v>173</v>
      </c>
      <c r="AW60" s="162" t="s">
        <v>1995</v>
      </c>
      <c r="AX60" s="168">
        <f t="shared" si="21"/>
        <v>0</v>
      </c>
      <c r="AY60" s="168">
        <f t="shared" si="22"/>
        <v>0</v>
      </c>
      <c r="AZ60" s="163">
        <f t="shared" si="23"/>
        <v>0</v>
      </c>
      <c r="BA60" s="163">
        <f t="shared" si="24"/>
        <v>0</v>
      </c>
      <c r="BB60" s="163">
        <f t="shared" si="25"/>
        <v>0</v>
      </c>
      <c r="BC60" s="163">
        <f t="shared" si="26"/>
        <v>0</v>
      </c>
      <c r="BD60" s="163">
        <f t="shared" si="27"/>
        <v>0</v>
      </c>
      <c r="BE60" s="163" t="s">
        <v>157</v>
      </c>
      <c r="BF60" s="162" t="s">
        <v>1426</v>
      </c>
    </row>
    <row r="61" spans="1:58">
      <c r="A61" s="159">
        <f t="shared" si="36"/>
        <v>18</v>
      </c>
      <c r="B61" s="159">
        <f t="shared" si="37"/>
        <v>2</v>
      </c>
      <c r="C61" s="190" t="str">
        <f t="shared" si="0"/>
        <v>1802</v>
      </c>
      <c r="D61" s="159" t="s">
        <v>66</v>
      </c>
      <c r="E61" s="192">
        <v>2008</v>
      </c>
      <c r="F61" s="162" t="s">
        <v>1939</v>
      </c>
      <c r="G61" s="162" t="s">
        <v>334</v>
      </c>
      <c r="H61" s="163" t="str">
        <f t="shared" si="28"/>
        <v>UM</v>
      </c>
      <c r="I61" s="163" t="s">
        <v>157</v>
      </c>
      <c r="J61" s="162" t="s">
        <v>150</v>
      </c>
      <c r="K61" s="162" t="s">
        <v>151</v>
      </c>
      <c r="L61" s="162" t="s">
        <v>149</v>
      </c>
      <c r="M61" s="162" t="s">
        <v>2013</v>
      </c>
      <c r="N61" s="163" t="s">
        <v>148</v>
      </c>
      <c r="O61" s="162" t="s">
        <v>153</v>
      </c>
      <c r="P61" s="162" t="s">
        <v>154</v>
      </c>
      <c r="Q61" s="162" t="s">
        <v>155</v>
      </c>
      <c r="R61" s="163">
        <v>2004</v>
      </c>
      <c r="S61" s="194">
        <v>53</v>
      </c>
      <c r="T61" s="194">
        <f>IF(ISNUMBER(S61),S61/VLOOKUP($Q61,xRates!$A$1:$AA$267,studies!$R61-xRates!$B$1+2,FALSE),S61)</f>
        <v>53</v>
      </c>
      <c r="V61" s="194"/>
      <c r="W61" s="163" t="s">
        <v>157</v>
      </c>
      <c r="X61" s="163" t="s">
        <v>157</v>
      </c>
      <c r="Y61" s="163" t="s">
        <v>148</v>
      </c>
      <c r="Z61" s="163" t="s">
        <v>148</v>
      </c>
      <c r="AA61" s="163" t="s">
        <v>148</v>
      </c>
      <c r="AB61" s="163" t="s">
        <v>247</v>
      </c>
      <c r="AC61" s="196">
        <v>1546</v>
      </c>
      <c r="AD61" s="196">
        <v>1546</v>
      </c>
      <c r="AE61" s="192" t="str">
        <f t="shared" si="11"/>
        <v>No</v>
      </c>
      <c r="AF61" s="196">
        <f t="shared" si="29"/>
        <v>4120.5442050000001</v>
      </c>
      <c r="AG61" s="159" t="str">
        <f t="shared" si="12"/>
        <v>Cost-effective</v>
      </c>
      <c r="AH61" s="159" t="str">
        <f t="shared" si="13"/>
        <v>Cost-effective</v>
      </c>
      <c r="AI61" s="198">
        <f t="shared" si="14"/>
        <v>0.37519315971032036</v>
      </c>
      <c r="AJ61" s="198" t="str">
        <f t="shared" si="30"/>
        <v/>
      </c>
      <c r="AK61" s="159" t="str">
        <f t="shared" si="15"/>
        <v>Cost-effective</v>
      </c>
      <c r="AL61" s="198" t="str">
        <f t="shared" si="31"/>
        <v/>
      </c>
      <c r="AM61" s="162" t="str">
        <f t="shared" si="16"/>
        <v>Cost-effective</v>
      </c>
      <c r="AN61" s="198">
        <f t="shared" si="32"/>
        <v>0.59780757492583769</v>
      </c>
      <c r="AO61" s="159" t="str">
        <f t="shared" si="17"/>
        <v>Cost-effective</v>
      </c>
      <c r="AP61" s="198">
        <f t="shared" si="33"/>
        <v>0.26794410670766822</v>
      </c>
      <c r="AQ61" s="159" t="str">
        <f t="shared" si="18"/>
        <v>Not cost-effective</v>
      </c>
      <c r="AR61" s="198">
        <f t="shared" si="34"/>
        <v>0.98970969835241007</v>
      </c>
      <c r="AS61" s="159" t="str">
        <f t="shared" si="19"/>
        <v>Cost-effective</v>
      </c>
      <c r="AT61" s="198">
        <f t="shared" si="35"/>
        <v>0.67260232384888741</v>
      </c>
      <c r="AU61" s="159" t="str">
        <f t="shared" si="20"/>
        <v>Cost-effective</v>
      </c>
      <c r="AV61" s="162" t="s">
        <v>173</v>
      </c>
      <c r="AW61" s="162" t="s">
        <v>1995</v>
      </c>
      <c r="AX61" s="168">
        <f t="shared" si="21"/>
        <v>0</v>
      </c>
      <c r="AY61" s="168">
        <f t="shared" si="22"/>
        <v>0</v>
      </c>
      <c r="AZ61" s="163">
        <f t="shared" si="23"/>
        <v>0</v>
      </c>
      <c r="BA61" s="163">
        <f t="shared" si="24"/>
        <v>1</v>
      </c>
      <c r="BB61" s="163">
        <f t="shared" si="25"/>
        <v>0</v>
      </c>
      <c r="BC61" s="163">
        <f t="shared" si="26"/>
        <v>0</v>
      </c>
      <c r="BD61" s="163">
        <f t="shared" si="27"/>
        <v>1</v>
      </c>
      <c r="BE61" s="163" t="s">
        <v>157</v>
      </c>
      <c r="BF61" s="162" t="s">
        <v>1426</v>
      </c>
    </row>
    <row r="62" spans="1:58">
      <c r="A62" s="159">
        <f t="shared" si="36"/>
        <v>19</v>
      </c>
      <c r="B62" s="159">
        <f t="shared" si="37"/>
        <v>1</v>
      </c>
      <c r="C62" s="190" t="str">
        <f t="shared" si="0"/>
        <v>1901</v>
      </c>
      <c r="D62" s="159" t="s">
        <v>336</v>
      </c>
      <c r="E62" s="192">
        <v>2009</v>
      </c>
      <c r="F62" s="162" t="s">
        <v>1940</v>
      </c>
      <c r="G62" s="162" t="s">
        <v>330</v>
      </c>
      <c r="H62" s="163" t="str">
        <f t="shared" si="28"/>
        <v>UM</v>
      </c>
      <c r="I62" s="163" t="s">
        <v>157</v>
      </c>
      <c r="J62" s="162" t="s">
        <v>150</v>
      </c>
      <c r="K62" s="162" t="s">
        <v>151</v>
      </c>
      <c r="L62" s="162" t="s">
        <v>149</v>
      </c>
      <c r="M62" s="162" t="s">
        <v>2013</v>
      </c>
      <c r="N62" s="163" t="s">
        <v>148</v>
      </c>
      <c r="O62" s="162" t="s">
        <v>1979</v>
      </c>
      <c r="P62" s="162" t="s">
        <v>338</v>
      </c>
      <c r="Q62" s="162" t="s">
        <v>330</v>
      </c>
      <c r="R62" s="163">
        <v>2006</v>
      </c>
      <c r="S62" s="194">
        <v>51.12</v>
      </c>
      <c r="T62" s="194">
        <f>IF(ISNUMBER(S62),S62/VLOOKUP($Q62,xRates!$A$1:$AA$267,studies!$R62-xRates!$B$1+2,FALSE),S62)</f>
        <v>23.499918786143962</v>
      </c>
      <c r="V62" s="194"/>
      <c r="W62" s="163" t="s">
        <v>157</v>
      </c>
      <c r="X62" s="163" t="s">
        <v>157</v>
      </c>
      <c r="Y62" s="163" t="s">
        <v>148</v>
      </c>
      <c r="Z62" s="163" t="s">
        <v>148</v>
      </c>
      <c r="AA62" s="163" t="s">
        <v>148</v>
      </c>
      <c r="AB62" s="163" t="s">
        <v>247</v>
      </c>
      <c r="AC62" s="196">
        <v>4516</v>
      </c>
      <c r="AD62" s="196">
        <f>AC62/xRates!$L$28</f>
        <v>2076.010039871403</v>
      </c>
      <c r="AE62" s="192" t="str">
        <f t="shared" si="11"/>
        <v>No</v>
      </c>
      <c r="AF62" s="196">
        <f t="shared" si="29"/>
        <v>5886.3915219999999</v>
      </c>
      <c r="AG62" s="159" t="str">
        <f t="shared" si="12"/>
        <v>Cost-effective</v>
      </c>
      <c r="AH62" s="159" t="str">
        <f t="shared" si="13"/>
        <v>Cost-effective</v>
      </c>
      <c r="AI62" s="198">
        <f t="shared" si="14"/>
        <v>0.35267957153588109</v>
      </c>
      <c r="AJ62" s="198">
        <f t="shared" si="30"/>
        <v>1.0900000000000001</v>
      </c>
      <c r="AK62" s="159" t="str">
        <f t="shared" si="15"/>
        <v>Cost-effective</v>
      </c>
      <c r="AL62" s="198">
        <f t="shared" si="31"/>
        <v>0.71</v>
      </c>
      <c r="AM62" s="162" t="str">
        <f t="shared" si="16"/>
        <v>Cost-effective</v>
      </c>
      <c r="AN62" s="198">
        <f t="shared" si="32"/>
        <v>0.61331405073457201</v>
      </c>
      <c r="AO62" s="159" t="str">
        <f t="shared" si="17"/>
        <v>Cost-effective</v>
      </c>
      <c r="AP62" s="198">
        <f t="shared" si="33"/>
        <v>0.19454672897770822</v>
      </c>
      <c r="AQ62" s="159" t="str">
        <f t="shared" si="18"/>
        <v>Not cost-effective</v>
      </c>
      <c r="AR62" s="198">
        <f t="shared" si="34"/>
        <v>1.6739433928535268</v>
      </c>
      <c r="AS62" s="159" t="str">
        <f t="shared" si="19"/>
        <v>Cost-effective</v>
      </c>
      <c r="AT62" s="198">
        <f t="shared" si="35"/>
        <v>0.69378626051328196</v>
      </c>
      <c r="AU62" s="159" t="str">
        <f t="shared" si="20"/>
        <v>Cost-effective</v>
      </c>
      <c r="AV62" s="162" t="s">
        <v>210</v>
      </c>
      <c r="AW62" s="162" t="s">
        <v>1995</v>
      </c>
      <c r="AX62" s="168">
        <f t="shared" si="21"/>
        <v>0</v>
      </c>
      <c r="AY62" s="168">
        <f t="shared" si="22"/>
        <v>0</v>
      </c>
      <c r="AZ62" s="163">
        <f t="shared" si="23"/>
        <v>0</v>
      </c>
      <c r="BA62" s="163">
        <f t="shared" si="24"/>
        <v>1</v>
      </c>
      <c r="BB62" s="163">
        <f t="shared" si="25"/>
        <v>0</v>
      </c>
      <c r="BC62" s="163">
        <f t="shared" si="26"/>
        <v>0</v>
      </c>
      <c r="BD62" s="163">
        <f t="shared" si="27"/>
        <v>1</v>
      </c>
      <c r="BE62" s="163" t="s">
        <v>157</v>
      </c>
      <c r="BF62" s="162" t="s">
        <v>1425</v>
      </c>
    </row>
    <row r="63" spans="1:58">
      <c r="A63" s="159">
        <f t="shared" si="36"/>
        <v>19</v>
      </c>
      <c r="B63" s="159">
        <f t="shared" si="37"/>
        <v>2</v>
      </c>
      <c r="C63" s="190" t="str">
        <f t="shared" si="0"/>
        <v>1902</v>
      </c>
      <c r="D63" s="159" t="s">
        <v>336</v>
      </c>
      <c r="E63" s="192">
        <v>2009</v>
      </c>
      <c r="F63" s="162" t="s">
        <v>1940</v>
      </c>
      <c r="G63" s="162" t="s">
        <v>330</v>
      </c>
      <c r="H63" s="163" t="str">
        <f t="shared" si="28"/>
        <v>UM</v>
      </c>
      <c r="I63" s="163" t="s">
        <v>157</v>
      </c>
      <c r="J63" s="162" t="s">
        <v>150</v>
      </c>
      <c r="K63" s="162" t="s">
        <v>151</v>
      </c>
      <c r="L63" s="162" t="s">
        <v>149</v>
      </c>
      <c r="M63" s="162" t="s">
        <v>2013</v>
      </c>
      <c r="N63" s="163" t="s">
        <v>148</v>
      </c>
      <c r="O63" s="162" t="s">
        <v>153</v>
      </c>
      <c r="P63" s="162" t="s">
        <v>338</v>
      </c>
      <c r="Q63" s="162" t="s">
        <v>330</v>
      </c>
      <c r="R63" s="163">
        <v>2006</v>
      </c>
      <c r="S63" s="194">
        <v>51.12</v>
      </c>
      <c r="T63" s="194">
        <f>IF(ISNUMBER(S63),S63/VLOOKUP($Q63,xRates!$A$1:$AA$267,studies!$R63-xRates!$B$1+2,FALSE),S63)</f>
        <v>23.499918786143962</v>
      </c>
      <c r="V63" s="194"/>
      <c r="W63" s="163" t="s">
        <v>157</v>
      </c>
      <c r="X63" s="163" t="s">
        <v>157</v>
      </c>
      <c r="Y63" s="163" t="s">
        <v>148</v>
      </c>
      <c r="Z63" s="163" t="s">
        <v>148</v>
      </c>
      <c r="AA63" s="163" t="s">
        <v>148</v>
      </c>
      <c r="AB63" s="163" t="s">
        <v>247</v>
      </c>
      <c r="AC63" s="196">
        <v>3946</v>
      </c>
      <c r="AD63" s="196">
        <f>AC63/xRates!$L$28</f>
        <v>1813.9804289930373</v>
      </c>
      <c r="AE63" s="192" t="str">
        <f t="shared" si="11"/>
        <v>No</v>
      </c>
      <c r="AF63" s="196">
        <f t="shared" si="29"/>
        <v>5886.3915219999999</v>
      </c>
      <c r="AG63" s="159" t="str">
        <f t="shared" si="12"/>
        <v>Cost-effective</v>
      </c>
      <c r="AH63" s="159" t="str">
        <f t="shared" si="13"/>
        <v>Cost-effective</v>
      </c>
      <c r="AI63" s="198">
        <f t="shared" si="14"/>
        <v>0.30816509948640097</v>
      </c>
      <c r="AJ63" s="198">
        <f t="shared" si="30"/>
        <v>1.0900000000000001</v>
      </c>
      <c r="AK63" s="159" t="str">
        <f t="shared" si="15"/>
        <v>Cost-effective</v>
      </c>
      <c r="AL63" s="198">
        <f t="shared" si="31"/>
        <v>0.71</v>
      </c>
      <c r="AM63" s="162" t="str">
        <f t="shared" si="16"/>
        <v>Cost-effective</v>
      </c>
      <c r="AN63" s="198">
        <f t="shared" si="32"/>
        <v>0.61331405073457201</v>
      </c>
      <c r="AO63" s="159" t="str">
        <f t="shared" si="17"/>
        <v>Cost-effective</v>
      </c>
      <c r="AP63" s="198">
        <f t="shared" si="33"/>
        <v>0.19454672897770822</v>
      </c>
      <c r="AQ63" s="159" t="str">
        <f t="shared" si="18"/>
        <v>Not cost-effective</v>
      </c>
      <c r="AR63" s="198">
        <f t="shared" si="34"/>
        <v>1.6739433928535268</v>
      </c>
      <c r="AS63" s="159" t="str">
        <f t="shared" si="19"/>
        <v>Cost-effective</v>
      </c>
      <c r="AT63" s="198">
        <f t="shared" si="35"/>
        <v>0.69378626051328196</v>
      </c>
      <c r="AU63" s="159" t="str">
        <f t="shared" si="20"/>
        <v>Cost-effective</v>
      </c>
      <c r="AV63" s="162" t="s">
        <v>210</v>
      </c>
      <c r="AW63" s="162" t="s">
        <v>1995</v>
      </c>
      <c r="AX63" s="168">
        <f t="shared" si="21"/>
        <v>0</v>
      </c>
      <c r="AY63" s="168">
        <f t="shared" si="22"/>
        <v>0</v>
      </c>
      <c r="AZ63" s="163">
        <f t="shared" si="23"/>
        <v>0</v>
      </c>
      <c r="BA63" s="163">
        <f t="shared" si="24"/>
        <v>1</v>
      </c>
      <c r="BB63" s="163">
        <f t="shared" si="25"/>
        <v>0</v>
      </c>
      <c r="BC63" s="163">
        <f t="shared" si="26"/>
        <v>0</v>
      </c>
      <c r="BD63" s="163">
        <f t="shared" si="27"/>
        <v>1</v>
      </c>
      <c r="BE63" s="163" t="s">
        <v>157</v>
      </c>
      <c r="BF63" s="162" t="s">
        <v>1425</v>
      </c>
    </row>
    <row r="64" spans="1:58">
      <c r="A64" s="159">
        <f t="shared" si="36"/>
        <v>19</v>
      </c>
      <c r="B64" s="159">
        <f t="shared" si="37"/>
        <v>3</v>
      </c>
      <c r="C64" s="190" t="str">
        <f t="shared" si="0"/>
        <v>1903</v>
      </c>
      <c r="D64" s="159" t="s">
        <v>336</v>
      </c>
      <c r="E64" s="192">
        <v>2009</v>
      </c>
      <c r="F64" s="162" t="s">
        <v>1940</v>
      </c>
      <c r="G64" s="162" t="s">
        <v>330</v>
      </c>
      <c r="H64" s="163" t="str">
        <f t="shared" si="28"/>
        <v>UM</v>
      </c>
      <c r="I64" s="163" t="s">
        <v>157</v>
      </c>
      <c r="J64" s="162" t="s">
        <v>150</v>
      </c>
      <c r="K64" s="162" t="s">
        <v>151</v>
      </c>
      <c r="L64" s="162" t="s">
        <v>149</v>
      </c>
      <c r="M64" s="162" t="s">
        <v>2013</v>
      </c>
      <c r="N64" s="163" t="s">
        <v>157</v>
      </c>
      <c r="O64" s="162" t="s">
        <v>153</v>
      </c>
      <c r="P64" s="162" t="s">
        <v>338</v>
      </c>
      <c r="Q64" s="162" t="s">
        <v>330</v>
      </c>
      <c r="R64" s="163">
        <v>2006</v>
      </c>
      <c r="S64" s="194">
        <v>51.12</v>
      </c>
      <c r="T64" s="194">
        <f>IF(ISNUMBER(S64),S64/VLOOKUP($Q64,xRates!$A$1:$AA$267,studies!$R64-xRates!$B$1+2,FALSE),S64)</f>
        <v>23.499918786143962</v>
      </c>
      <c r="V64" s="194"/>
      <c r="W64" s="163" t="s">
        <v>148</v>
      </c>
      <c r="X64" s="163" t="s">
        <v>157</v>
      </c>
      <c r="Y64" s="163" t="s">
        <v>148</v>
      </c>
      <c r="Z64" s="163" t="s">
        <v>148</v>
      </c>
      <c r="AA64" s="163" t="s">
        <v>148</v>
      </c>
      <c r="AB64" s="163" t="s">
        <v>247</v>
      </c>
      <c r="AC64" s="196">
        <v>1302</v>
      </c>
      <c r="AD64" s="196">
        <f>AC64/xRates!$L$28</f>
        <v>598.53079537479334</v>
      </c>
      <c r="AE64" s="192" t="str">
        <f t="shared" si="11"/>
        <v>No</v>
      </c>
      <c r="AF64" s="196">
        <f t="shared" si="29"/>
        <v>5886.3915219999999</v>
      </c>
      <c r="AG64" s="159" t="str">
        <f t="shared" si="12"/>
        <v>Cost-effective</v>
      </c>
      <c r="AH64" s="159" t="str">
        <f t="shared" si="13"/>
        <v>Cost-effective</v>
      </c>
      <c r="AI64" s="198">
        <f t="shared" si="14"/>
        <v>0.10168042562881249</v>
      </c>
      <c r="AJ64" s="198">
        <f t="shared" si="30"/>
        <v>1.0900000000000001</v>
      </c>
      <c r="AK64" s="159" t="str">
        <f t="shared" si="15"/>
        <v>Cost-effective</v>
      </c>
      <c r="AL64" s="198">
        <f t="shared" si="31"/>
        <v>0.71</v>
      </c>
      <c r="AM64" s="162" t="str">
        <f t="shared" si="16"/>
        <v>Cost-effective</v>
      </c>
      <c r="AN64" s="198">
        <f t="shared" si="32"/>
        <v>0.61331405073457201</v>
      </c>
      <c r="AO64" s="159" t="str">
        <f t="shared" si="17"/>
        <v>Cost-effective</v>
      </c>
      <c r="AP64" s="198">
        <f t="shared" si="33"/>
        <v>0.19454672897770822</v>
      </c>
      <c r="AQ64" s="159" t="str">
        <f t="shared" si="18"/>
        <v>Cost-effective</v>
      </c>
      <c r="AR64" s="198">
        <f t="shared" si="34"/>
        <v>1.6739433928535268</v>
      </c>
      <c r="AS64" s="159" t="str">
        <f t="shared" si="19"/>
        <v>Cost-effective</v>
      </c>
      <c r="AT64" s="198">
        <f t="shared" si="35"/>
        <v>0.69378626051328196</v>
      </c>
      <c r="AU64" s="159" t="str">
        <f t="shared" si="20"/>
        <v>Cost-effective</v>
      </c>
      <c r="AV64" s="162" t="s">
        <v>210</v>
      </c>
      <c r="AW64" s="162" t="s">
        <v>1995</v>
      </c>
      <c r="AX64" s="168">
        <f t="shared" si="21"/>
        <v>0</v>
      </c>
      <c r="AY64" s="168">
        <f t="shared" si="22"/>
        <v>0</v>
      </c>
      <c r="AZ64" s="163">
        <f t="shared" si="23"/>
        <v>0</v>
      </c>
      <c r="BA64" s="163">
        <f t="shared" si="24"/>
        <v>0</v>
      </c>
      <c r="BB64" s="163">
        <f t="shared" si="25"/>
        <v>0</v>
      </c>
      <c r="BC64" s="163">
        <f t="shared" si="26"/>
        <v>0</v>
      </c>
      <c r="BD64" s="163">
        <f t="shared" si="27"/>
        <v>0</v>
      </c>
      <c r="BE64" s="163" t="s">
        <v>157</v>
      </c>
      <c r="BF64" s="162" t="s">
        <v>1425</v>
      </c>
    </row>
    <row r="65" spans="1:58">
      <c r="A65" s="159">
        <f t="shared" si="36"/>
        <v>19</v>
      </c>
      <c r="B65" s="159">
        <f t="shared" si="37"/>
        <v>4</v>
      </c>
      <c r="C65" s="190" t="str">
        <f t="shared" si="0"/>
        <v>1904</v>
      </c>
      <c r="D65" s="159" t="s">
        <v>336</v>
      </c>
      <c r="E65" s="192">
        <v>2009</v>
      </c>
      <c r="F65" s="162" t="s">
        <v>1940</v>
      </c>
      <c r="G65" s="162" t="s">
        <v>330</v>
      </c>
      <c r="H65" s="163" t="str">
        <f t="shared" si="28"/>
        <v>UM</v>
      </c>
      <c r="I65" s="163" t="s">
        <v>157</v>
      </c>
      <c r="J65" s="162" t="s">
        <v>150</v>
      </c>
      <c r="K65" s="162" t="s">
        <v>151</v>
      </c>
      <c r="L65" s="162" t="s">
        <v>149</v>
      </c>
      <c r="M65" s="162" t="s">
        <v>2013</v>
      </c>
      <c r="N65" s="163" t="s">
        <v>157</v>
      </c>
      <c r="O65" s="162" t="s">
        <v>1979</v>
      </c>
      <c r="P65" s="162" t="s">
        <v>338</v>
      </c>
      <c r="Q65" s="162" t="s">
        <v>330</v>
      </c>
      <c r="R65" s="163">
        <v>2006</v>
      </c>
      <c r="S65" s="194">
        <v>51.12</v>
      </c>
      <c r="T65" s="194">
        <f>IF(ISNUMBER(S65),S65/VLOOKUP($Q65,xRates!$A$1:$AA$267,studies!$R65-xRates!$B$1+2,FALSE),S65)</f>
        <v>23.499918786143962</v>
      </c>
      <c r="V65" s="194"/>
      <c r="W65" s="163" t="s">
        <v>148</v>
      </c>
      <c r="X65" s="163" t="s">
        <v>157</v>
      </c>
      <c r="Y65" s="163" t="s">
        <v>148</v>
      </c>
      <c r="Z65" s="163" t="s">
        <v>148</v>
      </c>
      <c r="AA65" s="163" t="s">
        <v>148</v>
      </c>
      <c r="AB65" s="163" t="s">
        <v>247</v>
      </c>
      <c r="AC65" s="196">
        <v>1490</v>
      </c>
      <c r="AD65" s="196">
        <f>AC65/xRates!$L$28</f>
        <v>684.95459685748244</v>
      </c>
      <c r="AE65" s="192" t="str">
        <f t="shared" si="11"/>
        <v>No</v>
      </c>
      <c r="AF65" s="196">
        <f t="shared" si="29"/>
        <v>5886.3915219999999</v>
      </c>
      <c r="AG65" s="159" t="str">
        <f t="shared" si="12"/>
        <v>Cost-effective</v>
      </c>
      <c r="AH65" s="159" t="str">
        <f t="shared" si="13"/>
        <v>Cost-effective</v>
      </c>
      <c r="AI65" s="198">
        <f t="shared" si="14"/>
        <v>0.11636239184864103</v>
      </c>
      <c r="AJ65" s="198">
        <f t="shared" si="30"/>
        <v>1.0900000000000001</v>
      </c>
      <c r="AK65" s="159" t="str">
        <f t="shared" si="15"/>
        <v>Cost-effective</v>
      </c>
      <c r="AL65" s="198">
        <f t="shared" si="31"/>
        <v>0.71</v>
      </c>
      <c r="AM65" s="162" t="str">
        <f t="shared" si="16"/>
        <v>Cost-effective</v>
      </c>
      <c r="AN65" s="198">
        <f t="shared" si="32"/>
        <v>0.61331405073457201</v>
      </c>
      <c r="AO65" s="159" t="str">
        <f t="shared" si="17"/>
        <v>Cost-effective</v>
      </c>
      <c r="AP65" s="198">
        <f t="shared" si="33"/>
        <v>0.19454672897770822</v>
      </c>
      <c r="AQ65" s="159" t="str">
        <f t="shared" si="18"/>
        <v>Cost-effective</v>
      </c>
      <c r="AR65" s="198">
        <f t="shared" si="34"/>
        <v>1.6739433928535268</v>
      </c>
      <c r="AS65" s="159" t="str">
        <f t="shared" si="19"/>
        <v>Cost-effective</v>
      </c>
      <c r="AT65" s="198">
        <f t="shared" si="35"/>
        <v>0.69378626051328196</v>
      </c>
      <c r="AU65" s="159" t="str">
        <f t="shared" si="20"/>
        <v>Cost-effective</v>
      </c>
      <c r="AV65" s="162" t="s">
        <v>210</v>
      </c>
      <c r="AW65" s="162" t="s">
        <v>1995</v>
      </c>
      <c r="AX65" s="168">
        <f t="shared" si="21"/>
        <v>0</v>
      </c>
      <c r="AY65" s="168">
        <f t="shared" si="22"/>
        <v>0</v>
      </c>
      <c r="AZ65" s="163">
        <f t="shared" si="23"/>
        <v>0</v>
      </c>
      <c r="BA65" s="163">
        <f t="shared" si="24"/>
        <v>0</v>
      </c>
      <c r="BB65" s="163">
        <f t="shared" si="25"/>
        <v>0</v>
      </c>
      <c r="BC65" s="163">
        <f t="shared" si="26"/>
        <v>0</v>
      </c>
      <c r="BD65" s="163">
        <f t="shared" si="27"/>
        <v>0</v>
      </c>
      <c r="BE65" s="163" t="s">
        <v>157</v>
      </c>
      <c r="BF65" s="162" t="s">
        <v>1425</v>
      </c>
    </row>
    <row r="66" spans="1:58">
      <c r="A66" s="159">
        <f t="shared" si="36"/>
        <v>19</v>
      </c>
      <c r="B66" s="159">
        <f t="shared" si="37"/>
        <v>5</v>
      </c>
      <c r="C66" s="190" t="str">
        <f t="shared" ref="C66:C129" si="38">_xlfn.CONCAT(TEXT(A66,"00"),TEXT(B66,"00"))</f>
        <v>1905</v>
      </c>
      <c r="D66" s="159" t="s">
        <v>336</v>
      </c>
      <c r="E66" s="192">
        <v>2009</v>
      </c>
      <c r="F66" s="162" t="s">
        <v>1940</v>
      </c>
      <c r="G66" s="162" t="s">
        <v>330</v>
      </c>
      <c r="H66" s="163" t="str">
        <f t="shared" ref="H66:H97" si="39">VLOOKUP(G66,income,R66-1985,FALSE)</f>
        <v>UM</v>
      </c>
      <c r="I66" s="163" t="s">
        <v>157</v>
      </c>
      <c r="J66" s="162" t="s">
        <v>150</v>
      </c>
      <c r="K66" s="162" t="s">
        <v>151</v>
      </c>
      <c r="L66" s="162" t="s">
        <v>149</v>
      </c>
      <c r="M66" s="162" t="s">
        <v>2014</v>
      </c>
      <c r="N66" s="163" t="s">
        <v>148</v>
      </c>
      <c r="O66" s="162" t="s">
        <v>1979</v>
      </c>
      <c r="P66" s="162" t="s">
        <v>338</v>
      </c>
      <c r="Q66" s="162" t="s">
        <v>330</v>
      </c>
      <c r="R66" s="163">
        <v>2006</v>
      </c>
      <c r="S66" s="194">
        <v>51.12</v>
      </c>
      <c r="T66" s="194">
        <f>IF(ISNUMBER(S66),S66/VLOOKUP($Q66,xRates!$A$1:$AA$267,studies!$R66-xRates!$B$1+2,FALSE),S66)</f>
        <v>23.499918786143962</v>
      </c>
      <c r="V66" s="194"/>
      <c r="W66" s="163" t="s">
        <v>157</v>
      </c>
      <c r="X66" s="163" t="s">
        <v>157</v>
      </c>
      <c r="Y66" s="163" t="s">
        <v>148</v>
      </c>
      <c r="Z66" s="163" t="s">
        <v>148</v>
      </c>
      <c r="AA66" s="163" t="s">
        <v>148</v>
      </c>
      <c r="AB66" s="163" t="s">
        <v>247</v>
      </c>
      <c r="AC66" s="196">
        <v>5973</v>
      </c>
      <c r="AD66" s="196">
        <f>AC66/xRates!$L$28</f>
        <v>2745.7945013622434</v>
      </c>
      <c r="AE66" s="192" t="str">
        <f t="shared" si="11"/>
        <v>No</v>
      </c>
      <c r="AF66" s="196">
        <f t="shared" ref="AF66:AF97" si="40">VLOOKUP(G66,gdppc,R66-1958,FALSE)</f>
        <v>5886.3915219999999</v>
      </c>
      <c r="AG66" s="159" t="str">
        <f t="shared" si="12"/>
        <v>Cost-effective</v>
      </c>
      <c r="AH66" s="159" t="str">
        <f t="shared" si="13"/>
        <v>Cost-effective</v>
      </c>
      <c r="AI66" s="198">
        <f t="shared" si="14"/>
        <v>0.46646480973955229</v>
      </c>
      <c r="AJ66" s="198">
        <f t="shared" ref="AJ66:AJ97" si="41">IFERROR(VLOOKUP(G66,ochalek,11,FALSE),"")</f>
        <v>1.0900000000000001</v>
      </c>
      <c r="AK66" s="159" t="str">
        <f t="shared" si="15"/>
        <v>Cost-effective</v>
      </c>
      <c r="AL66" s="198">
        <f t="shared" ref="AL66:AL97" si="42">IFERROR(VLOOKUP(G66,ochalek,10,FALSE),"")</f>
        <v>0.71</v>
      </c>
      <c r="AM66" s="162" t="str">
        <f t="shared" si="16"/>
        <v>Cost-effective</v>
      </c>
      <c r="AN66" s="198">
        <f t="shared" ref="AN66:AN97" si="43">IFERROR(VLOOKUP(G66,woods,6,FALSE),"")</f>
        <v>0.61331405073457201</v>
      </c>
      <c r="AO66" s="159" t="str">
        <f t="shared" si="17"/>
        <v>Cost-effective</v>
      </c>
      <c r="AP66" s="198">
        <f t="shared" ref="AP66:AP97" si="44">IFERROR(VLOOKUP(G66,woods,5,FALSE),"")</f>
        <v>0.19454672897770822</v>
      </c>
      <c r="AQ66" s="159" t="str">
        <f t="shared" si="18"/>
        <v>Not cost-effective</v>
      </c>
      <c r="AR66" s="198">
        <f t="shared" ref="AR66:AR97" si="45">IFERROR(VLOOKUP(G66,riviere,8,FALSE),"")</f>
        <v>1.6739433928535268</v>
      </c>
      <c r="AS66" s="159" t="str">
        <f t="shared" si="19"/>
        <v>Cost-effective</v>
      </c>
      <c r="AT66" s="198">
        <f t="shared" ref="AT66:AT97" si="46">IFERROR(VLOOKUP(G66,riviere,7,FALSE),"")</f>
        <v>0.69378626051328196</v>
      </c>
      <c r="AU66" s="159" t="str">
        <f t="shared" si="20"/>
        <v>Cost-effective</v>
      </c>
      <c r="AV66" s="162" t="s">
        <v>210</v>
      </c>
      <c r="AW66" s="162" t="s">
        <v>1995</v>
      </c>
      <c r="AX66" s="168">
        <f t="shared" si="21"/>
        <v>0</v>
      </c>
      <c r="AY66" s="168">
        <f t="shared" si="22"/>
        <v>0</v>
      </c>
      <c r="AZ66" s="163">
        <f t="shared" si="23"/>
        <v>0</v>
      </c>
      <c r="BA66" s="163">
        <f t="shared" si="24"/>
        <v>1</v>
      </c>
      <c r="BB66" s="163">
        <f t="shared" si="25"/>
        <v>0</v>
      </c>
      <c r="BC66" s="163">
        <f t="shared" si="26"/>
        <v>0</v>
      </c>
      <c r="BD66" s="163">
        <f t="shared" si="27"/>
        <v>1</v>
      </c>
      <c r="BE66" s="163" t="s">
        <v>157</v>
      </c>
      <c r="BF66" s="162" t="s">
        <v>1425</v>
      </c>
    </row>
    <row r="67" spans="1:58">
      <c r="A67" s="159">
        <f t="shared" ref="A67:A98" si="47">IF(F67=F66,A66,A66+1)</f>
        <v>19</v>
      </c>
      <c r="B67" s="159">
        <f t="shared" ref="B67:B98" si="48">IF(F67=F66,B66+1,1)</f>
        <v>6</v>
      </c>
      <c r="C67" s="190" t="str">
        <f t="shared" si="38"/>
        <v>1906</v>
      </c>
      <c r="D67" s="159" t="s">
        <v>336</v>
      </c>
      <c r="E67" s="192">
        <v>2009</v>
      </c>
      <c r="F67" s="162" t="s">
        <v>1940</v>
      </c>
      <c r="G67" s="162" t="s">
        <v>330</v>
      </c>
      <c r="H67" s="163" t="str">
        <f t="shared" si="39"/>
        <v>UM</v>
      </c>
      <c r="I67" s="163" t="s">
        <v>157</v>
      </c>
      <c r="J67" s="162" t="s">
        <v>150</v>
      </c>
      <c r="K67" s="162" t="s">
        <v>151</v>
      </c>
      <c r="L67" s="162" t="s">
        <v>149</v>
      </c>
      <c r="M67" s="162" t="s">
        <v>2014</v>
      </c>
      <c r="N67" s="163" t="s">
        <v>148</v>
      </c>
      <c r="O67" s="162" t="s">
        <v>153</v>
      </c>
      <c r="P67" s="162" t="s">
        <v>338</v>
      </c>
      <c r="Q67" s="162" t="s">
        <v>330</v>
      </c>
      <c r="R67" s="163">
        <v>2006</v>
      </c>
      <c r="S67" s="194">
        <v>51.12</v>
      </c>
      <c r="T67" s="194">
        <f>IF(ISNUMBER(S67),S67/VLOOKUP($Q67,xRates!$A$1:$AA$267,studies!$R67-xRates!$B$1+2,FALSE),S67)</f>
        <v>23.499918786143962</v>
      </c>
      <c r="V67" s="194"/>
      <c r="W67" s="163" t="s">
        <v>157</v>
      </c>
      <c r="X67" s="163" t="s">
        <v>157</v>
      </c>
      <c r="Y67" s="163" t="s">
        <v>148</v>
      </c>
      <c r="Z67" s="163" t="s">
        <v>148</v>
      </c>
      <c r="AA67" s="163" t="s">
        <v>148</v>
      </c>
      <c r="AB67" s="163" t="s">
        <v>247</v>
      </c>
      <c r="AC67" s="196">
        <v>5403</v>
      </c>
      <c r="AD67" s="196">
        <f>AC67/xRates!$L$28</f>
        <v>2483.7648904838775</v>
      </c>
      <c r="AE67" s="192" t="str">
        <f t="shared" ref="AE67:AE130" si="49">IF(AD67&lt;0, "Yes", "No")</f>
        <v>No</v>
      </c>
      <c r="AF67" s="196">
        <f t="shared" si="40"/>
        <v>5886.3915219999999</v>
      </c>
      <c r="AG67" s="159" t="str">
        <f t="shared" ref="AG67:AG130" si="50">IF(AD67="NA", ".", IF(AD67&lt;0,"Cost-saving",IF(AD67&lt;=AF67,"Cost-effective",IF(AD67&gt;AF67&amp;AD67&lt;&gt;"NA","Not cost-effective","Missing"))))</f>
        <v>Cost-effective</v>
      </c>
      <c r="AH67" s="159" t="str">
        <f t="shared" ref="AH67:AH130" si="51">IF(AD67="NA", ".", IF(AD67&lt;0,"Cost-saving",IF(AD67&lt;=AF67*3,"Cost-effective",IF(AD67&gt;AF67*3&amp;AD67&lt;&gt;"NA","Not cost-effective","Missing"))))</f>
        <v>Cost-effective</v>
      </c>
      <c r="AI67" s="198">
        <f t="shared" ref="AI67:AI130" si="52">IFERROR(AD67/AF67,"")</f>
        <v>0.42195033769007212</v>
      </c>
      <c r="AJ67" s="198">
        <f t="shared" si="41"/>
        <v>1.0900000000000001</v>
      </c>
      <c r="AK67" s="159" t="str">
        <f t="shared" ref="AK67:AK130" si="53">IF(AI67&lt;0,"Cost-saving", IF(AJ67=".", ".", IF(AI67&lt;AJ67, "Cost-effective", "Not cost-effective")))</f>
        <v>Cost-effective</v>
      </c>
      <c r="AL67" s="198">
        <f t="shared" si="42"/>
        <v>0.71</v>
      </c>
      <c r="AM67" s="162" t="str">
        <f t="shared" ref="AM67:AM130" si="54">IF(AI67&lt;0,"Cost-saving", IF(AL67=".", ".", IF(AI67&lt;AL67, "Cost-effective", "Not cost-effective")))</f>
        <v>Cost-effective</v>
      </c>
      <c r="AN67" s="198">
        <f t="shared" si="43"/>
        <v>0.61331405073457201</v>
      </c>
      <c r="AO67" s="159" t="str">
        <f t="shared" ref="AO67:AO130" si="55">IF(AI67&lt;0,"Cost-saving", IF(AN67=".", ".", IF(AI67&lt;AN67, "Cost-effective", "Not cost-effective")))</f>
        <v>Cost-effective</v>
      </c>
      <c r="AP67" s="198">
        <f t="shared" si="44"/>
        <v>0.19454672897770822</v>
      </c>
      <c r="AQ67" s="159" t="str">
        <f t="shared" ref="AQ67:AQ130" si="56">IF(AI67&lt;0,"Cost-saving", IF(AP67=".", ".", IF(AI67&lt;AP67, "Cost-effective", "Not cost-effective")))</f>
        <v>Not cost-effective</v>
      </c>
      <c r="AR67" s="198">
        <f t="shared" si="45"/>
        <v>1.6739433928535268</v>
      </c>
      <c r="AS67" s="159" t="str">
        <f t="shared" ref="AS67:AS130" si="57">IF(AI67&lt;0,"Cost-saving", IF(AR67=".", ".", IF(AI67&lt;AR67, "Cost-effective", "Not cost-effective")))</f>
        <v>Cost-effective</v>
      </c>
      <c r="AT67" s="198">
        <f t="shared" si="46"/>
        <v>0.69378626051328196</v>
      </c>
      <c r="AU67" s="159" t="str">
        <f t="shared" ref="AU67:AU130" si="58">IF(AI67&lt;0,"Cost-saving", IF(AT67=".", ".", IF(AI67&lt;AT67, "Cost-effective", "Not cost-effective")))</f>
        <v>Cost-effective</v>
      </c>
      <c r="AV67" s="162" t="s">
        <v>210</v>
      </c>
      <c r="AW67" s="162" t="s">
        <v>1995</v>
      </c>
      <c r="AX67" s="168">
        <f t="shared" ref="AX67:AX130" si="59">IF(AW67="Cost-Effective",IF(AK67="Not Cost-Effective",1,0),"")</f>
        <v>0</v>
      </c>
      <c r="AY67" s="168">
        <f t="shared" ref="AY67:AY130" si="60">IF(AW67="Cost-Effective",IF(AM67="Not Cost-Effective",1,0),"")</f>
        <v>0</v>
      </c>
      <c r="AZ67" s="163">
        <f t="shared" ref="AZ67:AZ130" si="61">IF(AW67="Cost-Effective",IF(AO67="Not Cost-Effective",1,0),"")</f>
        <v>0</v>
      </c>
      <c r="BA67" s="163">
        <f t="shared" ref="BA67:BA130" si="62">IF(AW67="Cost-Effective",IF(AQ67="Not Cost-Effective",1,0),"")</f>
        <v>1</v>
      </c>
      <c r="BB67" s="163">
        <f t="shared" ref="BB67:BB130" si="63">IF(AW67="Cost-Effective",IF(AS67="Not Cost-Effective",1,0),"")</f>
        <v>0</v>
      </c>
      <c r="BC67" s="163">
        <f t="shared" ref="BC67:BC130" si="64">IF(AW67="Cost-Effective",IF(AU67="Not Cost-Effective",1,0),"")</f>
        <v>0</v>
      </c>
      <c r="BD67" s="163">
        <f t="shared" ref="BD67:BD130" si="65">SUM(AX67:BC67)</f>
        <v>1</v>
      </c>
      <c r="BE67" s="163" t="s">
        <v>157</v>
      </c>
      <c r="BF67" s="162" t="s">
        <v>1425</v>
      </c>
    </row>
    <row r="68" spans="1:58">
      <c r="A68" s="159">
        <f t="shared" si="47"/>
        <v>20</v>
      </c>
      <c r="B68" s="159">
        <f t="shared" si="48"/>
        <v>1</v>
      </c>
      <c r="C68" s="190" t="str">
        <f t="shared" si="38"/>
        <v>2001</v>
      </c>
      <c r="D68" s="159" t="s">
        <v>38</v>
      </c>
      <c r="E68" s="192">
        <v>2010</v>
      </c>
      <c r="F68" s="162" t="s">
        <v>1941</v>
      </c>
      <c r="G68" s="162" t="s">
        <v>346</v>
      </c>
      <c r="H68" s="163" t="str">
        <f t="shared" si="39"/>
        <v>L</v>
      </c>
      <c r="I68" s="163" t="s">
        <v>157</v>
      </c>
      <c r="J68" s="162" t="s">
        <v>348</v>
      </c>
      <c r="K68" s="162" t="s">
        <v>151</v>
      </c>
      <c r="L68" s="162" t="s">
        <v>651</v>
      </c>
      <c r="M68" s="162" t="s">
        <v>2013</v>
      </c>
      <c r="N68" s="163" t="s">
        <v>148</v>
      </c>
      <c r="O68" s="162" t="s">
        <v>153</v>
      </c>
      <c r="P68" s="162" t="s">
        <v>154</v>
      </c>
      <c r="Q68" s="162" t="s">
        <v>155</v>
      </c>
      <c r="R68" s="163">
        <v>2005</v>
      </c>
      <c r="S68" s="194">
        <v>3.5</v>
      </c>
      <c r="T68" s="194">
        <f>IF(ISNUMBER(S68),S68/VLOOKUP($Q68,xRates!$A$1:$AA$267,studies!$R68-xRates!$B$1+2,FALSE),S68)</f>
        <v>3.5</v>
      </c>
      <c r="V68" s="194"/>
      <c r="W68" s="163" t="s">
        <v>157</v>
      </c>
      <c r="X68" s="163" t="s">
        <v>157</v>
      </c>
      <c r="Y68" s="163" t="s">
        <v>148</v>
      </c>
      <c r="Z68" s="163" t="s">
        <v>148</v>
      </c>
      <c r="AA68" s="163" t="s">
        <v>157</v>
      </c>
      <c r="AB68" s="163" t="s">
        <v>247</v>
      </c>
      <c r="AC68" s="196">
        <v>670</v>
      </c>
      <c r="AD68" s="196">
        <v>670</v>
      </c>
      <c r="AE68" s="192" t="str">
        <f t="shared" si="49"/>
        <v>No</v>
      </c>
      <c r="AF68" s="196">
        <f t="shared" si="40"/>
        <v>665.72021570000004</v>
      </c>
      <c r="AG68" s="159" t="str">
        <f t="shared" si="50"/>
        <v>Not cost-effective</v>
      </c>
      <c r="AH68" s="159" t="str">
        <f t="shared" si="51"/>
        <v>Cost-effective</v>
      </c>
      <c r="AI68" s="198">
        <f t="shared" si="52"/>
        <v>1.0064288032706048</v>
      </c>
      <c r="AJ68" s="198">
        <f t="shared" si="41"/>
        <v>0.69</v>
      </c>
      <c r="AK68" s="159" t="str">
        <f t="shared" si="53"/>
        <v>Not cost-effective</v>
      </c>
      <c r="AL68" s="198">
        <f t="shared" si="42"/>
        <v>0.52</v>
      </c>
      <c r="AM68" s="162" t="str">
        <f t="shared" si="54"/>
        <v>Not cost-effective</v>
      </c>
      <c r="AN68" s="198">
        <f t="shared" si="43"/>
        <v>0.35973480239731703</v>
      </c>
      <c r="AO68" s="159" t="str">
        <f t="shared" si="55"/>
        <v>Not cost-effective</v>
      </c>
      <c r="AP68" s="198">
        <f t="shared" si="44"/>
        <v>1.7130228685586526E-2</v>
      </c>
      <c r="AQ68" s="159" t="str">
        <f t="shared" si="56"/>
        <v>Not cost-effective</v>
      </c>
      <c r="AR68" s="198">
        <f t="shared" si="45"/>
        <v>0.25516617130748365</v>
      </c>
      <c r="AS68" s="159" t="str">
        <f t="shared" si="57"/>
        <v>Not cost-effective</v>
      </c>
      <c r="AT68" s="198">
        <f t="shared" si="46"/>
        <v>5.0515130360364778E-2</v>
      </c>
      <c r="AU68" s="159" t="str">
        <f t="shared" si="58"/>
        <v>Not cost-effective</v>
      </c>
      <c r="AV68" s="162" t="s">
        <v>173</v>
      </c>
      <c r="AW68" s="162" t="s">
        <v>1995</v>
      </c>
      <c r="AX68" s="168">
        <f t="shared" si="59"/>
        <v>1</v>
      </c>
      <c r="AY68" s="168">
        <f t="shared" si="60"/>
        <v>1</v>
      </c>
      <c r="AZ68" s="163">
        <f t="shared" si="61"/>
        <v>1</v>
      </c>
      <c r="BA68" s="163">
        <f t="shared" si="62"/>
        <v>1</v>
      </c>
      <c r="BB68" s="163">
        <f t="shared" si="63"/>
        <v>1</v>
      </c>
      <c r="BC68" s="163">
        <f t="shared" si="64"/>
        <v>1</v>
      </c>
      <c r="BD68" s="163">
        <f t="shared" si="65"/>
        <v>6</v>
      </c>
      <c r="BE68" s="163" t="s">
        <v>157</v>
      </c>
      <c r="BF68" s="162" t="s">
        <v>1426</v>
      </c>
    </row>
    <row r="69" spans="1:58">
      <c r="A69" s="159">
        <f t="shared" si="47"/>
        <v>20</v>
      </c>
      <c r="B69" s="159">
        <f t="shared" si="48"/>
        <v>2</v>
      </c>
      <c r="C69" s="190" t="str">
        <f t="shared" si="38"/>
        <v>2002</v>
      </c>
      <c r="D69" s="159" t="s">
        <v>38</v>
      </c>
      <c r="E69" s="192">
        <v>2010</v>
      </c>
      <c r="F69" s="162" t="s">
        <v>1941</v>
      </c>
      <c r="G69" s="162" t="s">
        <v>346</v>
      </c>
      <c r="H69" s="163" t="str">
        <f t="shared" si="39"/>
        <v>L</v>
      </c>
      <c r="I69" s="163" t="s">
        <v>157</v>
      </c>
      <c r="J69" s="162" t="s">
        <v>150</v>
      </c>
      <c r="K69" s="162" t="s">
        <v>151</v>
      </c>
      <c r="L69" s="162" t="s">
        <v>149</v>
      </c>
      <c r="M69" s="162" t="s">
        <v>2013</v>
      </c>
      <c r="N69" s="163" t="s">
        <v>148</v>
      </c>
      <c r="O69" s="162" t="s">
        <v>153</v>
      </c>
      <c r="P69" s="162" t="s">
        <v>154</v>
      </c>
      <c r="Q69" s="162" t="s">
        <v>155</v>
      </c>
      <c r="R69" s="163">
        <v>2005</v>
      </c>
      <c r="S69" s="194">
        <v>3.5</v>
      </c>
      <c r="T69" s="194">
        <f>IF(ISNUMBER(S69),S69/VLOOKUP($Q69,xRates!$A$1:$AA$267,studies!$R69-xRates!$B$1+2,FALSE),S69)</f>
        <v>3.5</v>
      </c>
      <c r="V69" s="194"/>
      <c r="W69" s="163" t="s">
        <v>157</v>
      </c>
      <c r="X69" s="163" t="s">
        <v>157</v>
      </c>
      <c r="Y69" s="163" t="s">
        <v>148</v>
      </c>
      <c r="Z69" s="163" t="s">
        <v>148</v>
      </c>
      <c r="AA69" s="163" t="s">
        <v>157</v>
      </c>
      <c r="AB69" s="163" t="s">
        <v>247</v>
      </c>
      <c r="AC69" s="196">
        <v>910</v>
      </c>
      <c r="AD69" s="196">
        <v>910</v>
      </c>
      <c r="AE69" s="192" t="str">
        <f t="shared" si="49"/>
        <v>No</v>
      </c>
      <c r="AF69" s="196">
        <f t="shared" si="40"/>
        <v>665.72021570000004</v>
      </c>
      <c r="AG69" s="159" t="str">
        <f t="shared" si="50"/>
        <v>Not cost-effective</v>
      </c>
      <c r="AH69" s="159" t="str">
        <f t="shared" si="51"/>
        <v>Cost-effective</v>
      </c>
      <c r="AI69" s="198">
        <f t="shared" si="52"/>
        <v>1.3669406133973887</v>
      </c>
      <c r="AJ69" s="198">
        <f t="shared" si="41"/>
        <v>0.69</v>
      </c>
      <c r="AK69" s="159" t="str">
        <f t="shared" si="53"/>
        <v>Not cost-effective</v>
      </c>
      <c r="AL69" s="198">
        <f t="shared" si="42"/>
        <v>0.52</v>
      </c>
      <c r="AM69" s="162" t="str">
        <f t="shared" si="54"/>
        <v>Not cost-effective</v>
      </c>
      <c r="AN69" s="198">
        <f t="shared" si="43"/>
        <v>0.35973480239731703</v>
      </c>
      <c r="AO69" s="159" t="str">
        <f t="shared" si="55"/>
        <v>Not cost-effective</v>
      </c>
      <c r="AP69" s="198">
        <f t="shared" si="44"/>
        <v>1.7130228685586526E-2</v>
      </c>
      <c r="AQ69" s="159" t="str">
        <f t="shared" si="56"/>
        <v>Not cost-effective</v>
      </c>
      <c r="AR69" s="198">
        <f t="shared" si="45"/>
        <v>0.25516617130748365</v>
      </c>
      <c r="AS69" s="159" t="str">
        <f t="shared" si="57"/>
        <v>Not cost-effective</v>
      </c>
      <c r="AT69" s="198">
        <f t="shared" si="46"/>
        <v>5.0515130360364778E-2</v>
      </c>
      <c r="AU69" s="159" t="str">
        <f t="shared" si="58"/>
        <v>Not cost-effective</v>
      </c>
      <c r="AV69" s="162" t="s">
        <v>173</v>
      </c>
      <c r="AW69" s="162" t="s">
        <v>1995</v>
      </c>
      <c r="AX69" s="168">
        <f t="shared" si="59"/>
        <v>1</v>
      </c>
      <c r="AY69" s="168">
        <f t="shared" si="60"/>
        <v>1</v>
      </c>
      <c r="AZ69" s="163">
        <f t="shared" si="61"/>
        <v>1</v>
      </c>
      <c r="BA69" s="163">
        <f t="shared" si="62"/>
        <v>1</v>
      </c>
      <c r="BB69" s="163">
        <f t="shared" si="63"/>
        <v>1</v>
      </c>
      <c r="BC69" s="163">
        <f t="shared" si="64"/>
        <v>1</v>
      </c>
      <c r="BD69" s="163">
        <f t="shared" si="65"/>
        <v>6</v>
      </c>
      <c r="BE69" s="163" t="s">
        <v>157</v>
      </c>
      <c r="BF69" s="162" t="s">
        <v>1426</v>
      </c>
    </row>
    <row r="70" spans="1:58">
      <c r="A70" s="159">
        <f t="shared" si="47"/>
        <v>20</v>
      </c>
      <c r="B70" s="159">
        <f t="shared" si="48"/>
        <v>3</v>
      </c>
      <c r="C70" s="190" t="str">
        <f t="shared" si="38"/>
        <v>2003</v>
      </c>
      <c r="D70" s="159" t="s">
        <v>38</v>
      </c>
      <c r="E70" s="192">
        <v>2010</v>
      </c>
      <c r="F70" s="162" t="s">
        <v>1941</v>
      </c>
      <c r="G70" s="162" t="s">
        <v>346</v>
      </c>
      <c r="H70" s="163" t="str">
        <f t="shared" si="39"/>
        <v>L</v>
      </c>
      <c r="I70" s="163" t="s">
        <v>157</v>
      </c>
      <c r="J70" s="162" t="s">
        <v>183</v>
      </c>
      <c r="K70" s="162" t="s">
        <v>151</v>
      </c>
      <c r="L70" s="162" t="s">
        <v>352</v>
      </c>
      <c r="M70" s="162" t="s">
        <v>2013</v>
      </c>
      <c r="N70" s="163" t="s">
        <v>148</v>
      </c>
      <c r="O70" s="162" t="s">
        <v>153</v>
      </c>
      <c r="P70" s="162" t="s">
        <v>154</v>
      </c>
      <c r="Q70" s="162" t="s">
        <v>155</v>
      </c>
      <c r="R70" s="163">
        <v>2005</v>
      </c>
      <c r="S70" s="194">
        <v>3.5</v>
      </c>
      <c r="T70" s="194">
        <f>IF(ISNUMBER(S70),S70/VLOOKUP($Q70,xRates!$A$1:$AA$267,studies!$R70-xRates!$B$1+2,FALSE),S70)</f>
        <v>3.5</v>
      </c>
      <c r="V70" s="194"/>
      <c r="W70" s="163" t="s">
        <v>157</v>
      </c>
      <c r="X70" s="163" t="s">
        <v>157</v>
      </c>
      <c r="Y70" s="163" t="s">
        <v>148</v>
      </c>
      <c r="Z70" s="163" t="s">
        <v>148</v>
      </c>
      <c r="AA70" s="163" t="s">
        <v>157</v>
      </c>
      <c r="AB70" s="163" t="s">
        <v>247</v>
      </c>
      <c r="AC70" s="196">
        <v>670</v>
      </c>
      <c r="AD70" s="196">
        <v>670</v>
      </c>
      <c r="AE70" s="192" t="str">
        <f t="shared" si="49"/>
        <v>No</v>
      </c>
      <c r="AF70" s="196">
        <f t="shared" si="40"/>
        <v>665.72021570000004</v>
      </c>
      <c r="AG70" s="159" t="str">
        <f t="shared" si="50"/>
        <v>Not cost-effective</v>
      </c>
      <c r="AH70" s="159" t="str">
        <f t="shared" si="51"/>
        <v>Cost-effective</v>
      </c>
      <c r="AI70" s="198">
        <f t="shared" si="52"/>
        <v>1.0064288032706048</v>
      </c>
      <c r="AJ70" s="198">
        <f t="shared" si="41"/>
        <v>0.69</v>
      </c>
      <c r="AK70" s="159" t="str">
        <f t="shared" si="53"/>
        <v>Not cost-effective</v>
      </c>
      <c r="AL70" s="198">
        <f t="shared" si="42"/>
        <v>0.52</v>
      </c>
      <c r="AM70" s="162" t="str">
        <f t="shared" si="54"/>
        <v>Not cost-effective</v>
      </c>
      <c r="AN70" s="198">
        <f t="shared" si="43"/>
        <v>0.35973480239731703</v>
      </c>
      <c r="AO70" s="159" t="str">
        <f t="shared" si="55"/>
        <v>Not cost-effective</v>
      </c>
      <c r="AP70" s="198">
        <f t="shared" si="44"/>
        <v>1.7130228685586526E-2</v>
      </c>
      <c r="AQ70" s="159" t="str">
        <f t="shared" si="56"/>
        <v>Not cost-effective</v>
      </c>
      <c r="AR70" s="198">
        <f t="shared" si="45"/>
        <v>0.25516617130748365</v>
      </c>
      <c r="AS70" s="159" t="str">
        <f t="shared" si="57"/>
        <v>Not cost-effective</v>
      </c>
      <c r="AT70" s="198">
        <f t="shared" si="46"/>
        <v>5.0515130360364778E-2</v>
      </c>
      <c r="AU70" s="159" t="str">
        <f t="shared" si="58"/>
        <v>Not cost-effective</v>
      </c>
      <c r="AV70" s="162" t="s">
        <v>173</v>
      </c>
      <c r="AW70" s="162" t="s">
        <v>1995</v>
      </c>
      <c r="AX70" s="168">
        <f t="shared" si="59"/>
        <v>1</v>
      </c>
      <c r="AY70" s="168">
        <f t="shared" si="60"/>
        <v>1</v>
      </c>
      <c r="AZ70" s="163">
        <f t="shared" si="61"/>
        <v>1</v>
      </c>
      <c r="BA70" s="163">
        <f t="shared" si="62"/>
        <v>1</v>
      </c>
      <c r="BB70" s="163">
        <f t="shared" si="63"/>
        <v>1</v>
      </c>
      <c r="BC70" s="163">
        <f t="shared" si="64"/>
        <v>1</v>
      </c>
      <c r="BD70" s="163">
        <f t="shared" si="65"/>
        <v>6</v>
      </c>
      <c r="BE70" s="163" t="s">
        <v>157</v>
      </c>
      <c r="BF70" s="162" t="s">
        <v>1426</v>
      </c>
    </row>
    <row r="71" spans="1:58">
      <c r="A71" s="159">
        <f t="shared" si="47"/>
        <v>20</v>
      </c>
      <c r="B71" s="159">
        <f t="shared" si="48"/>
        <v>4</v>
      </c>
      <c r="C71" s="190" t="str">
        <f t="shared" si="38"/>
        <v>2004</v>
      </c>
      <c r="D71" s="159" t="s">
        <v>38</v>
      </c>
      <c r="E71" s="192">
        <v>2010</v>
      </c>
      <c r="F71" s="162" t="s">
        <v>1941</v>
      </c>
      <c r="G71" s="162" t="s">
        <v>346</v>
      </c>
      <c r="H71" s="163" t="str">
        <f t="shared" si="39"/>
        <v>L</v>
      </c>
      <c r="I71" s="163" t="s">
        <v>157</v>
      </c>
      <c r="J71" s="162" t="s">
        <v>186</v>
      </c>
      <c r="K71" s="162" t="s">
        <v>151</v>
      </c>
      <c r="L71" s="162" t="s">
        <v>353</v>
      </c>
      <c r="M71" s="162" t="s">
        <v>2013</v>
      </c>
      <c r="N71" s="163" t="s">
        <v>148</v>
      </c>
      <c r="O71" s="162" t="s">
        <v>153</v>
      </c>
      <c r="P71" s="162" t="s">
        <v>154</v>
      </c>
      <c r="Q71" s="162" t="s">
        <v>155</v>
      </c>
      <c r="R71" s="163">
        <v>2005</v>
      </c>
      <c r="S71" s="194">
        <v>3.5</v>
      </c>
      <c r="T71" s="194">
        <f>IF(ISNUMBER(S71),S71/VLOOKUP($Q71,xRates!$A$1:$AA$267,studies!$R71-xRates!$B$1+2,FALSE),S71)</f>
        <v>3.5</v>
      </c>
      <c r="V71" s="194"/>
      <c r="W71" s="163" t="s">
        <v>157</v>
      </c>
      <c r="X71" s="163" t="s">
        <v>157</v>
      </c>
      <c r="Y71" s="163" t="s">
        <v>148</v>
      </c>
      <c r="Z71" s="163" t="s">
        <v>148</v>
      </c>
      <c r="AA71" s="163" t="s">
        <v>157</v>
      </c>
      <c r="AB71" s="163" t="s">
        <v>247</v>
      </c>
      <c r="AC71" s="196">
        <v>570</v>
      </c>
      <c r="AD71" s="196">
        <v>570</v>
      </c>
      <c r="AE71" s="192" t="str">
        <f t="shared" si="49"/>
        <v>No</v>
      </c>
      <c r="AF71" s="196">
        <f t="shared" si="40"/>
        <v>665.72021570000004</v>
      </c>
      <c r="AG71" s="159" t="str">
        <f t="shared" si="50"/>
        <v>Cost-effective</v>
      </c>
      <c r="AH71" s="159" t="str">
        <f t="shared" si="51"/>
        <v>Cost-effective</v>
      </c>
      <c r="AI71" s="198">
        <f t="shared" si="52"/>
        <v>0.85621554905111164</v>
      </c>
      <c r="AJ71" s="198">
        <f t="shared" si="41"/>
        <v>0.69</v>
      </c>
      <c r="AK71" s="159" t="str">
        <f t="shared" si="53"/>
        <v>Not cost-effective</v>
      </c>
      <c r="AL71" s="198">
        <f t="shared" si="42"/>
        <v>0.52</v>
      </c>
      <c r="AM71" s="162" t="str">
        <f t="shared" si="54"/>
        <v>Not cost-effective</v>
      </c>
      <c r="AN71" s="198">
        <f t="shared" si="43"/>
        <v>0.35973480239731703</v>
      </c>
      <c r="AO71" s="159" t="str">
        <f t="shared" si="55"/>
        <v>Not cost-effective</v>
      </c>
      <c r="AP71" s="198">
        <f t="shared" si="44"/>
        <v>1.7130228685586526E-2</v>
      </c>
      <c r="AQ71" s="159" t="str">
        <f t="shared" si="56"/>
        <v>Not cost-effective</v>
      </c>
      <c r="AR71" s="198">
        <f t="shared" si="45"/>
        <v>0.25516617130748365</v>
      </c>
      <c r="AS71" s="159" t="str">
        <f t="shared" si="57"/>
        <v>Not cost-effective</v>
      </c>
      <c r="AT71" s="198">
        <f t="shared" si="46"/>
        <v>5.0515130360364778E-2</v>
      </c>
      <c r="AU71" s="159" t="str">
        <f t="shared" si="58"/>
        <v>Not cost-effective</v>
      </c>
      <c r="AV71" s="162" t="s">
        <v>173</v>
      </c>
      <c r="AW71" s="162" t="s">
        <v>1995</v>
      </c>
      <c r="AX71" s="168">
        <f t="shared" si="59"/>
        <v>1</v>
      </c>
      <c r="AY71" s="168">
        <f t="shared" si="60"/>
        <v>1</v>
      </c>
      <c r="AZ71" s="163">
        <f t="shared" si="61"/>
        <v>1</v>
      </c>
      <c r="BA71" s="163">
        <f t="shared" si="62"/>
        <v>1</v>
      </c>
      <c r="BB71" s="163">
        <f t="shared" si="63"/>
        <v>1</v>
      </c>
      <c r="BC71" s="163">
        <f t="shared" si="64"/>
        <v>1</v>
      </c>
      <c r="BD71" s="163">
        <f t="shared" si="65"/>
        <v>6</v>
      </c>
      <c r="BE71" s="163" t="s">
        <v>157</v>
      </c>
      <c r="BF71" s="162" t="s">
        <v>1426</v>
      </c>
    </row>
    <row r="72" spans="1:58">
      <c r="A72" s="159">
        <f t="shared" si="47"/>
        <v>20</v>
      </c>
      <c r="B72" s="159">
        <f t="shared" si="48"/>
        <v>5</v>
      </c>
      <c r="C72" s="190" t="str">
        <f t="shared" si="38"/>
        <v>2005</v>
      </c>
      <c r="D72" s="159" t="s">
        <v>38</v>
      </c>
      <c r="E72" s="192">
        <v>2010</v>
      </c>
      <c r="F72" s="162" t="s">
        <v>1941</v>
      </c>
      <c r="G72" s="162" t="s">
        <v>346</v>
      </c>
      <c r="H72" s="163" t="str">
        <f t="shared" si="39"/>
        <v>L</v>
      </c>
      <c r="I72" s="163" t="s">
        <v>157</v>
      </c>
      <c r="J72" s="162" t="s">
        <v>150</v>
      </c>
      <c r="K72" s="162" t="s">
        <v>151</v>
      </c>
      <c r="L72" s="162" t="s">
        <v>149</v>
      </c>
      <c r="M72" s="162" t="s">
        <v>2013</v>
      </c>
      <c r="N72" s="163" t="s">
        <v>157</v>
      </c>
      <c r="O72" s="162" t="s">
        <v>153</v>
      </c>
      <c r="P72" s="162" t="s">
        <v>154</v>
      </c>
      <c r="Q72" s="162" t="s">
        <v>155</v>
      </c>
      <c r="R72" s="163">
        <v>2005</v>
      </c>
      <c r="S72" s="194">
        <v>3.5</v>
      </c>
      <c r="T72" s="194">
        <f>IF(ISNUMBER(S72),S72/VLOOKUP($Q72,xRates!$A$1:$AA$267,studies!$R72-xRates!$B$1+2,FALSE),S72)</f>
        <v>3.5</v>
      </c>
      <c r="V72" s="194"/>
      <c r="W72" s="163" t="s">
        <v>148</v>
      </c>
      <c r="X72" s="163" t="s">
        <v>148</v>
      </c>
      <c r="Y72" s="163" t="s">
        <v>148</v>
      </c>
      <c r="Z72" s="163" t="s">
        <v>148</v>
      </c>
      <c r="AA72" s="163" t="s">
        <v>157</v>
      </c>
      <c r="AB72" s="163" t="s">
        <v>247</v>
      </c>
      <c r="AC72" s="196">
        <v>830</v>
      </c>
      <c r="AD72" s="196">
        <f t="shared" ref="AD72:AD88" si="66">AC72</f>
        <v>830</v>
      </c>
      <c r="AE72" s="192" t="str">
        <f t="shared" si="49"/>
        <v>No</v>
      </c>
      <c r="AF72" s="196">
        <f t="shared" si="40"/>
        <v>665.72021570000004</v>
      </c>
      <c r="AG72" s="159" t="str">
        <f t="shared" si="50"/>
        <v>Not cost-effective</v>
      </c>
      <c r="AH72" s="159" t="str">
        <f t="shared" si="51"/>
        <v>Cost-effective</v>
      </c>
      <c r="AI72" s="198">
        <f t="shared" si="52"/>
        <v>1.2467700100217942</v>
      </c>
      <c r="AJ72" s="198">
        <f t="shared" si="41"/>
        <v>0.69</v>
      </c>
      <c r="AK72" s="159" t="str">
        <f t="shared" si="53"/>
        <v>Not cost-effective</v>
      </c>
      <c r="AL72" s="198">
        <f t="shared" si="42"/>
        <v>0.52</v>
      </c>
      <c r="AM72" s="162" t="str">
        <f t="shared" si="54"/>
        <v>Not cost-effective</v>
      </c>
      <c r="AN72" s="198">
        <f t="shared" si="43"/>
        <v>0.35973480239731703</v>
      </c>
      <c r="AO72" s="159" t="str">
        <f t="shared" si="55"/>
        <v>Not cost-effective</v>
      </c>
      <c r="AP72" s="198">
        <f t="shared" si="44"/>
        <v>1.7130228685586526E-2</v>
      </c>
      <c r="AQ72" s="159" t="str">
        <f t="shared" si="56"/>
        <v>Not cost-effective</v>
      </c>
      <c r="AR72" s="198">
        <f t="shared" si="45"/>
        <v>0.25516617130748365</v>
      </c>
      <c r="AS72" s="159" t="str">
        <f t="shared" si="57"/>
        <v>Not cost-effective</v>
      </c>
      <c r="AT72" s="198">
        <f t="shared" si="46"/>
        <v>5.0515130360364778E-2</v>
      </c>
      <c r="AU72" s="159" t="str">
        <f t="shared" si="58"/>
        <v>Not cost-effective</v>
      </c>
      <c r="AV72" s="162" t="s">
        <v>173</v>
      </c>
      <c r="AW72" s="162" t="s">
        <v>1995</v>
      </c>
      <c r="AX72" s="168">
        <f t="shared" si="59"/>
        <v>1</v>
      </c>
      <c r="AY72" s="168">
        <f t="shared" si="60"/>
        <v>1</v>
      </c>
      <c r="AZ72" s="163">
        <f t="shared" si="61"/>
        <v>1</v>
      </c>
      <c r="BA72" s="163">
        <f t="shared" si="62"/>
        <v>1</v>
      </c>
      <c r="BB72" s="163">
        <f t="shared" si="63"/>
        <v>1</v>
      </c>
      <c r="BC72" s="163">
        <f t="shared" si="64"/>
        <v>1</v>
      </c>
      <c r="BD72" s="163">
        <f t="shared" si="65"/>
        <v>6</v>
      </c>
      <c r="BE72" s="163" t="s">
        <v>157</v>
      </c>
      <c r="BF72" s="162" t="s">
        <v>1426</v>
      </c>
    </row>
    <row r="73" spans="1:58">
      <c r="A73" s="159">
        <f t="shared" si="47"/>
        <v>20</v>
      </c>
      <c r="B73" s="159">
        <f t="shared" si="48"/>
        <v>6</v>
      </c>
      <c r="C73" s="190" t="str">
        <f t="shared" si="38"/>
        <v>2006</v>
      </c>
      <c r="D73" s="159" t="s">
        <v>38</v>
      </c>
      <c r="E73" s="192">
        <v>2010</v>
      </c>
      <c r="F73" s="162" t="s">
        <v>1941</v>
      </c>
      <c r="G73" s="162" t="s">
        <v>346</v>
      </c>
      <c r="H73" s="163" t="str">
        <f t="shared" si="39"/>
        <v>L</v>
      </c>
      <c r="I73" s="163" t="s">
        <v>157</v>
      </c>
      <c r="J73" s="162" t="s">
        <v>183</v>
      </c>
      <c r="K73" s="162" t="s">
        <v>151</v>
      </c>
      <c r="L73" s="162" t="s">
        <v>352</v>
      </c>
      <c r="M73" s="162" t="s">
        <v>2013</v>
      </c>
      <c r="N73" s="163" t="s">
        <v>157</v>
      </c>
      <c r="O73" s="162" t="s">
        <v>153</v>
      </c>
      <c r="P73" s="162" t="s">
        <v>154</v>
      </c>
      <c r="Q73" s="162" t="s">
        <v>155</v>
      </c>
      <c r="R73" s="163">
        <v>2005</v>
      </c>
      <c r="S73" s="194">
        <v>3.5</v>
      </c>
      <c r="T73" s="194">
        <f>IF(ISNUMBER(S73),S73/VLOOKUP($Q73,xRates!$A$1:$AA$267,studies!$R73-xRates!$B$1+2,FALSE),S73)</f>
        <v>3.5</v>
      </c>
      <c r="V73" s="194"/>
      <c r="W73" s="163" t="s">
        <v>148</v>
      </c>
      <c r="X73" s="163" t="s">
        <v>148</v>
      </c>
      <c r="Y73" s="163" t="s">
        <v>148</v>
      </c>
      <c r="Z73" s="163" t="s">
        <v>148</v>
      </c>
      <c r="AA73" s="163" t="s">
        <v>157</v>
      </c>
      <c r="AB73" s="163" t="s">
        <v>247</v>
      </c>
      <c r="AC73" s="196">
        <v>550</v>
      </c>
      <c r="AD73" s="196">
        <f t="shared" si="66"/>
        <v>550</v>
      </c>
      <c r="AE73" s="192" t="str">
        <f t="shared" si="49"/>
        <v>No</v>
      </c>
      <c r="AF73" s="196">
        <f t="shared" si="40"/>
        <v>665.72021570000004</v>
      </c>
      <c r="AG73" s="159" t="str">
        <f t="shared" si="50"/>
        <v>Cost-effective</v>
      </c>
      <c r="AH73" s="159" t="str">
        <f t="shared" si="51"/>
        <v>Cost-effective</v>
      </c>
      <c r="AI73" s="198">
        <f t="shared" si="52"/>
        <v>0.82617289820721296</v>
      </c>
      <c r="AJ73" s="198">
        <f t="shared" si="41"/>
        <v>0.69</v>
      </c>
      <c r="AK73" s="159" t="str">
        <f t="shared" si="53"/>
        <v>Not cost-effective</v>
      </c>
      <c r="AL73" s="198">
        <f t="shared" si="42"/>
        <v>0.52</v>
      </c>
      <c r="AM73" s="162" t="str">
        <f t="shared" si="54"/>
        <v>Not cost-effective</v>
      </c>
      <c r="AN73" s="198">
        <f t="shared" si="43"/>
        <v>0.35973480239731703</v>
      </c>
      <c r="AO73" s="159" t="str">
        <f t="shared" si="55"/>
        <v>Not cost-effective</v>
      </c>
      <c r="AP73" s="198">
        <f t="shared" si="44"/>
        <v>1.7130228685586526E-2</v>
      </c>
      <c r="AQ73" s="159" t="str">
        <f t="shared" si="56"/>
        <v>Not cost-effective</v>
      </c>
      <c r="AR73" s="198">
        <f t="shared" si="45"/>
        <v>0.25516617130748365</v>
      </c>
      <c r="AS73" s="159" t="str">
        <f t="shared" si="57"/>
        <v>Not cost-effective</v>
      </c>
      <c r="AT73" s="198">
        <f t="shared" si="46"/>
        <v>5.0515130360364778E-2</v>
      </c>
      <c r="AU73" s="159" t="str">
        <f t="shared" si="58"/>
        <v>Not cost-effective</v>
      </c>
      <c r="AV73" s="162" t="s">
        <v>173</v>
      </c>
      <c r="AW73" s="162" t="s">
        <v>1995</v>
      </c>
      <c r="AX73" s="168">
        <f t="shared" si="59"/>
        <v>1</v>
      </c>
      <c r="AY73" s="168">
        <f t="shared" si="60"/>
        <v>1</v>
      </c>
      <c r="AZ73" s="163">
        <f t="shared" si="61"/>
        <v>1</v>
      </c>
      <c r="BA73" s="163">
        <f t="shared" si="62"/>
        <v>1</v>
      </c>
      <c r="BB73" s="163">
        <f t="shared" si="63"/>
        <v>1</v>
      </c>
      <c r="BC73" s="163">
        <f t="shared" si="64"/>
        <v>1</v>
      </c>
      <c r="BD73" s="163">
        <f t="shared" si="65"/>
        <v>6</v>
      </c>
      <c r="BE73" s="163" t="s">
        <v>157</v>
      </c>
      <c r="BF73" s="162" t="s">
        <v>1426</v>
      </c>
    </row>
    <row r="74" spans="1:58">
      <c r="A74" s="159">
        <f t="shared" si="47"/>
        <v>20</v>
      </c>
      <c r="B74" s="159">
        <f t="shared" si="48"/>
        <v>7</v>
      </c>
      <c r="C74" s="190" t="str">
        <f t="shared" si="38"/>
        <v>2007</v>
      </c>
      <c r="D74" s="159" t="s">
        <v>38</v>
      </c>
      <c r="E74" s="192">
        <v>2010</v>
      </c>
      <c r="F74" s="162" t="s">
        <v>1941</v>
      </c>
      <c r="G74" s="162" t="s">
        <v>346</v>
      </c>
      <c r="H74" s="163" t="str">
        <f t="shared" si="39"/>
        <v>L</v>
      </c>
      <c r="I74" s="163" t="s">
        <v>157</v>
      </c>
      <c r="J74" s="162" t="s">
        <v>186</v>
      </c>
      <c r="K74" s="162" t="s">
        <v>151</v>
      </c>
      <c r="L74" s="162" t="s">
        <v>353</v>
      </c>
      <c r="M74" s="162" t="s">
        <v>2013</v>
      </c>
      <c r="N74" s="163" t="s">
        <v>157</v>
      </c>
      <c r="O74" s="162" t="s">
        <v>153</v>
      </c>
      <c r="P74" s="162" t="s">
        <v>154</v>
      </c>
      <c r="Q74" s="162" t="s">
        <v>155</v>
      </c>
      <c r="R74" s="163">
        <v>2005</v>
      </c>
      <c r="S74" s="194">
        <v>3.5</v>
      </c>
      <c r="T74" s="194">
        <f>IF(ISNUMBER(S74),S74/VLOOKUP($Q74,xRates!$A$1:$AA$267,studies!$R74-xRates!$B$1+2,FALSE),S74)</f>
        <v>3.5</v>
      </c>
      <c r="V74" s="194"/>
      <c r="W74" s="163" t="s">
        <v>148</v>
      </c>
      <c r="X74" s="163" t="s">
        <v>148</v>
      </c>
      <c r="Y74" s="163" t="s">
        <v>148</v>
      </c>
      <c r="Z74" s="163" t="s">
        <v>148</v>
      </c>
      <c r="AA74" s="163" t="s">
        <v>157</v>
      </c>
      <c r="AB74" s="163" t="s">
        <v>247</v>
      </c>
      <c r="AC74" s="196">
        <v>480</v>
      </c>
      <c r="AD74" s="196">
        <f t="shared" si="66"/>
        <v>480</v>
      </c>
      <c r="AE74" s="192" t="str">
        <f t="shared" si="49"/>
        <v>No</v>
      </c>
      <c r="AF74" s="196">
        <f t="shared" si="40"/>
        <v>665.72021570000004</v>
      </c>
      <c r="AG74" s="159" t="str">
        <f t="shared" si="50"/>
        <v>Cost-effective</v>
      </c>
      <c r="AH74" s="159" t="str">
        <f t="shared" si="51"/>
        <v>Cost-effective</v>
      </c>
      <c r="AI74" s="198">
        <f t="shared" si="52"/>
        <v>0.7210236202535677</v>
      </c>
      <c r="AJ74" s="198">
        <f t="shared" si="41"/>
        <v>0.69</v>
      </c>
      <c r="AK74" s="159" t="str">
        <f t="shared" si="53"/>
        <v>Not cost-effective</v>
      </c>
      <c r="AL74" s="198">
        <f t="shared" si="42"/>
        <v>0.52</v>
      </c>
      <c r="AM74" s="162" t="str">
        <f t="shared" si="54"/>
        <v>Not cost-effective</v>
      </c>
      <c r="AN74" s="198">
        <f t="shared" si="43"/>
        <v>0.35973480239731703</v>
      </c>
      <c r="AO74" s="159" t="str">
        <f t="shared" si="55"/>
        <v>Not cost-effective</v>
      </c>
      <c r="AP74" s="198">
        <f t="shared" si="44"/>
        <v>1.7130228685586526E-2</v>
      </c>
      <c r="AQ74" s="159" t="str">
        <f t="shared" si="56"/>
        <v>Not cost-effective</v>
      </c>
      <c r="AR74" s="198">
        <f t="shared" si="45"/>
        <v>0.25516617130748365</v>
      </c>
      <c r="AS74" s="159" t="str">
        <f t="shared" si="57"/>
        <v>Not cost-effective</v>
      </c>
      <c r="AT74" s="198">
        <f t="shared" si="46"/>
        <v>5.0515130360364778E-2</v>
      </c>
      <c r="AU74" s="159" t="str">
        <f t="shared" si="58"/>
        <v>Not cost-effective</v>
      </c>
      <c r="AV74" s="162" t="s">
        <v>173</v>
      </c>
      <c r="AW74" s="162" t="s">
        <v>1995</v>
      </c>
      <c r="AX74" s="168">
        <f t="shared" si="59"/>
        <v>1</v>
      </c>
      <c r="AY74" s="168">
        <f t="shared" si="60"/>
        <v>1</v>
      </c>
      <c r="AZ74" s="163">
        <f t="shared" si="61"/>
        <v>1</v>
      </c>
      <c r="BA74" s="163">
        <f t="shared" si="62"/>
        <v>1</v>
      </c>
      <c r="BB74" s="163">
        <f t="shared" si="63"/>
        <v>1</v>
      </c>
      <c r="BC74" s="163">
        <f t="shared" si="64"/>
        <v>1</v>
      </c>
      <c r="BD74" s="163">
        <f t="shared" si="65"/>
        <v>6</v>
      </c>
      <c r="BE74" s="163" t="s">
        <v>157</v>
      </c>
      <c r="BF74" s="162" t="s">
        <v>1426</v>
      </c>
    </row>
    <row r="75" spans="1:58">
      <c r="A75" s="159">
        <f t="shared" si="47"/>
        <v>21</v>
      </c>
      <c r="B75" s="159">
        <f t="shared" si="48"/>
        <v>1</v>
      </c>
      <c r="C75" s="190" t="str">
        <f t="shared" si="38"/>
        <v>2101</v>
      </c>
      <c r="D75" s="159" t="s">
        <v>363</v>
      </c>
      <c r="E75" s="192">
        <v>2011</v>
      </c>
      <c r="F75" s="162" t="s">
        <v>1942</v>
      </c>
      <c r="G75" s="162" t="s">
        <v>365</v>
      </c>
      <c r="H75" s="163" t="str">
        <f t="shared" si="39"/>
        <v>UM</v>
      </c>
      <c r="I75" s="163" t="s">
        <v>157</v>
      </c>
      <c r="J75" s="162" t="s">
        <v>183</v>
      </c>
      <c r="K75" s="162" t="s">
        <v>151</v>
      </c>
      <c r="L75" s="162" t="s">
        <v>352</v>
      </c>
      <c r="M75" s="162" t="s">
        <v>2014</v>
      </c>
      <c r="N75" s="163" t="s">
        <v>148</v>
      </c>
      <c r="O75" s="162" t="s">
        <v>1979</v>
      </c>
      <c r="P75" s="162" t="s">
        <v>154</v>
      </c>
      <c r="Q75" s="162" t="s">
        <v>155</v>
      </c>
      <c r="R75" s="163">
        <v>2009</v>
      </c>
      <c r="S75" s="194">
        <v>20.75</v>
      </c>
      <c r="T75" s="194">
        <f>IF(ISNUMBER(S75),S75/VLOOKUP($Q75,xRates!$A$1:$AA$267,studies!$R75-xRates!$B$1+2,FALSE),S75)</f>
        <v>20.75</v>
      </c>
      <c r="V75" s="194"/>
      <c r="W75" s="163" t="s">
        <v>157</v>
      </c>
      <c r="X75" s="163" t="s">
        <v>157</v>
      </c>
      <c r="Y75" s="163" t="s">
        <v>148</v>
      </c>
      <c r="Z75" s="163" t="s">
        <v>148</v>
      </c>
      <c r="AA75" s="163" t="s">
        <v>148</v>
      </c>
      <c r="AB75" s="163" t="s">
        <v>247</v>
      </c>
      <c r="AC75" s="196">
        <v>8973</v>
      </c>
      <c r="AD75" s="196">
        <f t="shared" si="66"/>
        <v>8973</v>
      </c>
      <c r="AE75" s="192" t="str">
        <f t="shared" si="49"/>
        <v>No</v>
      </c>
      <c r="AF75" s="196">
        <f t="shared" si="40"/>
        <v>8225.1375829999997</v>
      </c>
      <c r="AG75" s="159" t="str">
        <f t="shared" si="50"/>
        <v>Not cost-effective</v>
      </c>
      <c r="AH75" s="159" t="str">
        <f t="shared" si="51"/>
        <v>Cost-effective</v>
      </c>
      <c r="AI75" s="198">
        <f t="shared" si="52"/>
        <v>1.0909240009000831</v>
      </c>
      <c r="AJ75" s="198">
        <f t="shared" si="41"/>
        <v>0.56000000000000005</v>
      </c>
      <c r="AK75" s="159" t="str">
        <f t="shared" si="53"/>
        <v>Not cost-effective</v>
      </c>
      <c r="AL75" s="198">
        <f t="shared" si="42"/>
        <v>0.37</v>
      </c>
      <c r="AM75" s="162" t="str">
        <f t="shared" si="54"/>
        <v>Not cost-effective</v>
      </c>
      <c r="AN75" s="198" t="str">
        <f t="shared" si="43"/>
        <v/>
      </c>
      <c r="AO75" s="159" t="str">
        <f t="shared" si="55"/>
        <v>Cost-effective</v>
      </c>
      <c r="AP75" s="198" t="str">
        <f t="shared" si="44"/>
        <v/>
      </c>
      <c r="AQ75" s="159" t="str">
        <f t="shared" si="56"/>
        <v>Cost-effective</v>
      </c>
      <c r="AR75" s="198">
        <f t="shared" si="45"/>
        <v>1.6326529897923321</v>
      </c>
      <c r="AS75" s="159" t="str">
        <f t="shared" si="57"/>
        <v>Cost-effective</v>
      </c>
      <c r="AT75" s="198">
        <f t="shared" si="46"/>
        <v>0.67666749470350318</v>
      </c>
      <c r="AU75" s="159" t="str">
        <f t="shared" si="58"/>
        <v>Not cost-effective</v>
      </c>
      <c r="AV75" s="162" t="s">
        <v>173</v>
      </c>
      <c r="AW75" s="162" t="s">
        <v>1995</v>
      </c>
      <c r="AX75" s="168">
        <f t="shared" si="59"/>
        <v>1</v>
      </c>
      <c r="AY75" s="168">
        <f t="shared" si="60"/>
        <v>1</v>
      </c>
      <c r="AZ75" s="163">
        <f t="shared" si="61"/>
        <v>0</v>
      </c>
      <c r="BA75" s="163">
        <f t="shared" si="62"/>
        <v>0</v>
      </c>
      <c r="BB75" s="163">
        <f t="shared" si="63"/>
        <v>0</v>
      </c>
      <c r="BC75" s="163">
        <f t="shared" si="64"/>
        <v>1</v>
      </c>
      <c r="BD75" s="163">
        <f t="shared" si="65"/>
        <v>3</v>
      </c>
      <c r="BE75" s="163" t="s">
        <v>157</v>
      </c>
      <c r="BF75" s="162" t="s">
        <v>1403</v>
      </c>
    </row>
    <row r="76" spans="1:58">
      <c r="A76" s="159">
        <f t="shared" si="47"/>
        <v>21</v>
      </c>
      <c r="B76" s="159">
        <f t="shared" si="48"/>
        <v>2</v>
      </c>
      <c r="C76" s="190" t="str">
        <f t="shared" si="38"/>
        <v>2102</v>
      </c>
      <c r="D76" s="159" t="s">
        <v>363</v>
      </c>
      <c r="E76" s="192">
        <v>2011</v>
      </c>
      <c r="F76" s="162" t="s">
        <v>1942</v>
      </c>
      <c r="G76" s="162" t="s">
        <v>365</v>
      </c>
      <c r="H76" s="163" t="str">
        <f t="shared" si="39"/>
        <v>UM</v>
      </c>
      <c r="I76" s="163" t="s">
        <v>157</v>
      </c>
      <c r="J76" s="162" t="s">
        <v>183</v>
      </c>
      <c r="K76" s="162" t="s">
        <v>151</v>
      </c>
      <c r="L76" s="162" t="s">
        <v>352</v>
      </c>
      <c r="M76" s="162" t="s">
        <v>2014</v>
      </c>
      <c r="N76" s="163" t="s">
        <v>157</v>
      </c>
      <c r="O76" s="162" t="s">
        <v>153</v>
      </c>
      <c r="P76" s="162" t="s">
        <v>154</v>
      </c>
      <c r="Q76" s="162" t="s">
        <v>155</v>
      </c>
      <c r="R76" s="163">
        <v>2009</v>
      </c>
      <c r="S76" s="194">
        <v>20.75</v>
      </c>
      <c r="T76" s="194">
        <f>IF(ISNUMBER(S76),S76/VLOOKUP($Q76,xRates!$A$1:$AA$267,studies!$R76-xRates!$B$1+2,FALSE),S76)</f>
        <v>20.75</v>
      </c>
      <c r="V76" s="194"/>
      <c r="W76" s="163" t="s">
        <v>157</v>
      </c>
      <c r="X76" s="163" t="s">
        <v>157</v>
      </c>
      <c r="Y76" s="163" t="s">
        <v>148</v>
      </c>
      <c r="Z76" s="163" t="s">
        <v>148</v>
      </c>
      <c r="AA76" s="163" t="s">
        <v>148</v>
      </c>
      <c r="AB76" s="163" t="s">
        <v>247</v>
      </c>
      <c r="AC76" s="196">
        <v>8546</v>
      </c>
      <c r="AD76" s="196">
        <f t="shared" si="66"/>
        <v>8546</v>
      </c>
      <c r="AE76" s="192" t="str">
        <f t="shared" si="49"/>
        <v>No</v>
      </c>
      <c r="AF76" s="196">
        <f t="shared" si="40"/>
        <v>8225.1375829999997</v>
      </c>
      <c r="AG76" s="159" t="str">
        <f t="shared" si="50"/>
        <v>Not cost-effective</v>
      </c>
      <c r="AH76" s="159" t="str">
        <f t="shared" si="51"/>
        <v>Cost-effective</v>
      </c>
      <c r="AI76" s="198">
        <f t="shared" si="52"/>
        <v>1.0390099756705797</v>
      </c>
      <c r="AJ76" s="198">
        <f t="shared" si="41"/>
        <v>0.56000000000000005</v>
      </c>
      <c r="AK76" s="159" t="str">
        <f t="shared" si="53"/>
        <v>Not cost-effective</v>
      </c>
      <c r="AL76" s="198">
        <f t="shared" si="42"/>
        <v>0.37</v>
      </c>
      <c r="AM76" s="162" t="str">
        <f t="shared" si="54"/>
        <v>Not cost-effective</v>
      </c>
      <c r="AN76" s="198" t="str">
        <f t="shared" si="43"/>
        <v/>
      </c>
      <c r="AO76" s="159" t="str">
        <f t="shared" si="55"/>
        <v>Cost-effective</v>
      </c>
      <c r="AP76" s="198" t="str">
        <f t="shared" si="44"/>
        <v/>
      </c>
      <c r="AQ76" s="159" t="str">
        <f t="shared" si="56"/>
        <v>Cost-effective</v>
      </c>
      <c r="AR76" s="198">
        <f t="shared" si="45"/>
        <v>1.6326529897923321</v>
      </c>
      <c r="AS76" s="159" t="str">
        <f t="shared" si="57"/>
        <v>Cost-effective</v>
      </c>
      <c r="AT76" s="198">
        <f t="shared" si="46"/>
        <v>0.67666749470350318</v>
      </c>
      <c r="AU76" s="159" t="str">
        <f t="shared" si="58"/>
        <v>Not cost-effective</v>
      </c>
      <c r="AV76" s="162" t="s">
        <v>173</v>
      </c>
      <c r="AW76" s="162" t="s">
        <v>1995</v>
      </c>
      <c r="AX76" s="168">
        <f t="shared" si="59"/>
        <v>1</v>
      </c>
      <c r="AY76" s="168">
        <f t="shared" si="60"/>
        <v>1</v>
      </c>
      <c r="AZ76" s="163">
        <f t="shared" si="61"/>
        <v>0</v>
      </c>
      <c r="BA76" s="163">
        <f t="shared" si="62"/>
        <v>0</v>
      </c>
      <c r="BB76" s="163">
        <f t="shared" si="63"/>
        <v>0</v>
      </c>
      <c r="BC76" s="163">
        <f t="shared" si="64"/>
        <v>1</v>
      </c>
      <c r="BD76" s="163">
        <f t="shared" si="65"/>
        <v>3</v>
      </c>
      <c r="BE76" s="163" t="s">
        <v>157</v>
      </c>
      <c r="BF76" s="162" t="s">
        <v>1403</v>
      </c>
    </row>
    <row r="77" spans="1:58">
      <c r="A77" s="159">
        <f t="shared" si="47"/>
        <v>21</v>
      </c>
      <c r="B77" s="159">
        <f t="shared" si="48"/>
        <v>3</v>
      </c>
      <c r="C77" s="190" t="str">
        <f t="shared" si="38"/>
        <v>2103</v>
      </c>
      <c r="D77" s="159" t="s">
        <v>363</v>
      </c>
      <c r="E77" s="192">
        <v>2011</v>
      </c>
      <c r="F77" s="162" t="s">
        <v>1942</v>
      </c>
      <c r="G77" s="162" t="s">
        <v>365</v>
      </c>
      <c r="H77" s="163" t="str">
        <f t="shared" si="39"/>
        <v>UM</v>
      </c>
      <c r="I77" s="163" t="s">
        <v>157</v>
      </c>
      <c r="J77" s="162" t="s">
        <v>186</v>
      </c>
      <c r="K77" s="162" t="s">
        <v>151</v>
      </c>
      <c r="L77" s="162" t="s">
        <v>353</v>
      </c>
      <c r="M77" s="162" t="s">
        <v>2014</v>
      </c>
      <c r="N77" s="163" t="s">
        <v>148</v>
      </c>
      <c r="O77" s="162" t="s">
        <v>1979</v>
      </c>
      <c r="P77" s="162" t="s">
        <v>154</v>
      </c>
      <c r="Q77" s="162" t="s">
        <v>155</v>
      </c>
      <c r="R77" s="163">
        <v>2009</v>
      </c>
      <c r="S77" s="194">
        <v>20.75</v>
      </c>
      <c r="T77" s="194">
        <f>IF(ISNUMBER(S77),S77/VLOOKUP($Q77,xRates!$A$1:$AA$267,studies!$R77-xRates!$B$1+2,FALSE),S77)</f>
        <v>20.75</v>
      </c>
      <c r="V77" s="194"/>
      <c r="W77" s="163" t="s">
        <v>157</v>
      </c>
      <c r="X77" s="163" t="s">
        <v>157</v>
      </c>
      <c r="Y77" s="163" t="s">
        <v>148</v>
      </c>
      <c r="Z77" s="163" t="s">
        <v>148</v>
      </c>
      <c r="AA77" s="163" t="s">
        <v>148</v>
      </c>
      <c r="AB77" s="163" t="s">
        <v>247</v>
      </c>
      <c r="AC77" s="196">
        <v>10948</v>
      </c>
      <c r="AD77" s="196">
        <f t="shared" si="66"/>
        <v>10948</v>
      </c>
      <c r="AE77" s="192" t="str">
        <f t="shared" si="49"/>
        <v>No</v>
      </c>
      <c r="AF77" s="196">
        <f t="shared" si="40"/>
        <v>8225.1375829999997</v>
      </c>
      <c r="AG77" s="159" t="str">
        <f t="shared" si="50"/>
        <v>Not cost-effective</v>
      </c>
      <c r="AH77" s="159" t="str">
        <f t="shared" si="51"/>
        <v>Cost-effective</v>
      </c>
      <c r="AI77" s="198">
        <f t="shared" si="52"/>
        <v>1.3310415649007146</v>
      </c>
      <c r="AJ77" s="198">
        <f t="shared" si="41"/>
        <v>0.56000000000000005</v>
      </c>
      <c r="AK77" s="159" t="str">
        <f t="shared" si="53"/>
        <v>Not cost-effective</v>
      </c>
      <c r="AL77" s="198">
        <f t="shared" si="42"/>
        <v>0.37</v>
      </c>
      <c r="AM77" s="162" t="str">
        <f t="shared" si="54"/>
        <v>Not cost-effective</v>
      </c>
      <c r="AN77" s="198" t="str">
        <f t="shared" si="43"/>
        <v/>
      </c>
      <c r="AO77" s="159" t="str">
        <f t="shared" si="55"/>
        <v>Cost-effective</v>
      </c>
      <c r="AP77" s="198" t="str">
        <f t="shared" si="44"/>
        <v/>
      </c>
      <c r="AQ77" s="159" t="str">
        <f t="shared" si="56"/>
        <v>Cost-effective</v>
      </c>
      <c r="AR77" s="198">
        <f t="shared" si="45"/>
        <v>1.6326529897923321</v>
      </c>
      <c r="AS77" s="159" t="str">
        <f t="shared" si="57"/>
        <v>Cost-effective</v>
      </c>
      <c r="AT77" s="198">
        <f t="shared" si="46"/>
        <v>0.67666749470350318</v>
      </c>
      <c r="AU77" s="159" t="str">
        <f t="shared" si="58"/>
        <v>Not cost-effective</v>
      </c>
      <c r="AV77" s="162" t="s">
        <v>173</v>
      </c>
      <c r="AW77" s="162" t="s">
        <v>1995</v>
      </c>
      <c r="AX77" s="168">
        <f t="shared" si="59"/>
        <v>1</v>
      </c>
      <c r="AY77" s="168">
        <f t="shared" si="60"/>
        <v>1</v>
      </c>
      <c r="AZ77" s="163">
        <f t="shared" si="61"/>
        <v>0</v>
      </c>
      <c r="BA77" s="163">
        <f t="shared" si="62"/>
        <v>0</v>
      </c>
      <c r="BB77" s="163">
        <f t="shared" si="63"/>
        <v>0</v>
      </c>
      <c r="BC77" s="163">
        <f t="shared" si="64"/>
        <v>1</v>
      </c>
      <c r="BD77" s="163">
        <f t="shared" si="65"/>
        <v>3</v>
      </c>
      <c r="BE77" s="163" t="s">
        <v>157</v>
      </c>
      <c r="BF77" s="162" t="s">
        <v>1403</v>
      </c>
    </row>
    <row r="78" spans="1:58">
      <c r="A78" s="159">
        <f t="shared" si="47"/>
        <v>21</v>
      </c>
      <c r="B78" s="159">
        <f t="shared" si="48"/>
        <v>4</v>
      </c>
      <c r="C78" s="190" t="str">
        <f t="shared" si="38"/>
        <v>2104</v>
      </c>
      <c r="D78" s="159" t="s">
        <v>363</v>
      </c>
      <c r="E78" s="192">
        <v>2011</v>
      </c>
      <c r="F78" s="162" t="s">
        <v>1942</v>
      </c>
      <c r="G78" s="162" t="s">
        <v>365</v>
      </c>
      <c r="H78" s="163" t="str">
        <f t="shared" si="39"/>
        <v>UM</v>
      </c>
      <c r="I78" s="163" t="s">
        <v>157</v>
      </c>
      <c r="J78" s="162" t="s">
        <v>186</v>
      </c>
      <c r="K78" s="162" t="s">
        <v>151</v>
      </c>
      <c r="L78" s="162" t="s">
        <v>353</v>
      </c>
      <c r="M78" s="162" t="s">
        <v>2014</v>
      </c>
      <c r="N78" s="163" t="s">
        <v>157</v>
      </c>
      <c r="O78" s="162" t="s">
        <v>153</v>
      </c>
      <c r="P78" s="162" t="s">
        <v>154</v>
      </c>
      <c r="Q78" s="162" t="s">
        <v>155</v>
      </c>
      <c r="R78" s="163">
        <v>2009</v>
      </c>
      <c r="S78" s="194">
        <v>20.75</v>
      </c>
      <c r="T78" s="194">
        <f>IF(ISNUMBER(S78),S78/VLOOKUP($Q78,xRates!$A$1:$AA$267,studies!$R78-xRates!$B$1+2,FALSE),S78)</f>
        <v>20.75</v>
      </c>
      <c r="V78" s="194"/>
      <c r="W78" s="163" t="s">
        <v>157</v>
      </c>
      <c r="X78" s="163" t="s">
        <v>157</v>
      </c>
      <c r="Y78" s="163" t="s">
        <v>148</v>
      </c>
      <c r="Z78" s="163" t="s">
        <v>148</v>
      </c>
      <c r="AA78" s="163" t="s">
        <v>148</v>
      </c>
      <c r="AB78" s="163" t="s">
        <v>247</v>
      </c>
      <c r="AC78" s="196">
        <v>10510</v>
      </c>
      <c r="AD78" s="196">
        <f t="shared" si="66"/>
        <v>10510</v>
      </c>
      <c r="AE78" s="192" t="str">
        <f t="shared" si="49"/>
        <v>No</v>
      </c>
      <c r="AF78" s="196">
        <f t="shared" si="40"/>
        <v>8225.1375829999997</v>
      </c>
      <c r="AG78" s="159" t="str">
        <f t="shared" si="50"/>
        <v>Not cost-effective</v>
      </c>
      <c r="AH78" s="159" t="str">
        <f t="shared" si="51"/>
        <v>Cost-effective</v>
      </c>
      <c r="AI78" s="198">
        <f t="shared" si="52"/>
        <v>1.2777901760236126</v>
      </c>
      <c r="AJ78" s="198">
        <f t="shared" si="41"/>
        <v>0.56000000000000005</v>
      </c>
      <c r="AK78" s="159" t="str">
        <f t="shared" si="53"/>
        <v>Not cost-effective</v>
      </c>
      <c r="AL78" s="198">
        <f t="shared" si="42"/>
        <v>0.37</v>
      </c>
      <c r="AM78" s="162" t="str">
        <f t="shared" si="54"/>
        <v>Not cost-effective</v>
      </c>
      <c r="AN78" s="198" t="str">
        <f t="shared" si="43"/>
        <v/>
      </c>
      <c r="AO78" s="159" t="str">
        <f t="shared" si="55"/>
        <v>Cost-effective</v>
      </c>
      <c r="AP78" s="198" t="str">
        <f t="shared" si="44"/>
        <v/>
      </c>
      <c r="AQ78" s="159" t="str">
        <f t="shared" si="56"/>
        <v>Cost-effective</v>
      </c>
      <c r="AR78" s="198">
        <f t="shared" si="45"/>
        <v>1.6326529897923321</v>
      </c>
      <c r="AS78" s="159" t="str">
        <f t="shared" si="57"/>
        <v>Cost-effective</v>
      </c>
      <c r="AT78" s="198">
        <f t="shared" si="46"/>
        <v>0.67666749470350318</v>
      </c>
      <c r="AU78" s="159" t="str">
        <f t="shared" si="58"/>
        <v>Not cost-effective</v>
      </c>
      <c r="AV78" s="162" t="s">
        <v>173</v>
      </c>
      <c r="AW78" s="162" t="s">
        <v>1995</v>
      </c>
      <c r="AX78" s="168">
        <f t="shared" si="59"/>
        <v>1</v>
      </c>
      <c r="AY78" s="168">
        <f t="shared" si="60"/>
        <v>1</v>
      </c>
      <c r="AZ78" s="163">
        <f t="shared" si="61"/>
        <v>0</v>
      </c>
      <c r="BA78" s="163">
        <f t="shared" si="62"/>
        <v>0</v>
      </c>
      <c r="BB78" s="163">
        <f t="shared" si="63"/>
        <v>0</v>
      </c>
      <c r="BC78" s="163">
        <f t="shared" si="64"/>
        <v>1</v>
      </c>
      <c r="BD78" s="163">
        <f t="shared" si="65"/>
        <v>3</v>
      </c>
      <c r="BE78" s="163" t="s">
        <v>157</v>
      </c>
      <c r="BF78" s="162" t="s">
        <v>1403</v>
      </c>
    </row>
    <row r="79" spans="1:58">
      <c r="A79" s="159">
        <f t="shared" si="47"/>
        <v>21</v>
      </c>
      <c r="B79" s="159">
        <f t="shared" si="48"/>
        <v>5</v>
      </c>
      <c r="C79" s="190" t="str">
        <f t="shared" si="38"/>
        <v>2105</v>
      </c>
      <c r="D79" s="159" t="s">
        <v>363</v>
      </c>
      <c r="E79" s="192">
        <v>2011</v>
      </c>
      <c r="F79" s="162" t="s">
        <v>1942</v>
      </c>
      <c r="G79" s="162" t="s">
        <v>365</v>
      </c>
      <c r="H79" s="163" t="str">
        <f t="shared" si="39"/>
        <v>UM</v>
      </c>
      <c r="I79" s="163" t="s">
        <v>157</v>
      </c>
      <c r="J79" s="162" t="s">
        <v>186</v>
      </c>
      <c r="K79" s="162" t="s">
        <v>183</v>
      </c>
      <c r="L79" s="162" t="s">
        <v>371</v>
      </c>
      <c r="M79" s="162" t="s">
        <v>2014</v>
      </c>
      <c r="N79" s="163" t="s">
        <v>148</v>
      </c>
      <c r="O79" s="162" t="s">
        <v>1979</v>
      </c>
      <c r="P79" s="162" t="s">
        <v>154</v>
      </c>
      <c r="Q79" s="162" t="s">
        <v>155</v>
      </c>
      <c r="R79" s="163">
        <v>2009</v>
      </c>
      <c r="S79" s="194">
        <v>20.75</v>
      </c>
      <c r="T79" s="194">
        <f>IF(ISNUMBER(S79),S79/VLOOKUP($Q79,xRates!$A$1:$AA$267,studies!$R79-xRates!$B$1+2,FALSE),S79)</f>
        <v>20.75</v>
      </c>
      <c r="U79" s="163">
        <v>20.75</v>
      </c>
      <c r="V79" s="194">
        <v>20.75</v>
      </c>
      <c r="W79" s="163" t="s">
        <v>157</v>
      </c>
      <c r="X79" s="163" t="s">
        <v>157</v>
      </c>
      <c r="Y79" s="163" t="s">
        <v>148</v>
      </c>
      <c r="Z79" s="163" t="s">
        <v>148</v>
      </c>
      <c r="AA79" s="163" t="s">
        <v>148</v>
      </c>
      <c r="AB79" s="163" t="s">
        <v>247</v>
      </c>
      <c r="AC79" s="196">
        <v>28147</v>
      </c>
      <c r="AD79" s="196">
        <f t="shared" si="66"/>
        <v>28147</v>
      </c>
      <c r="AE79" s="192" t="str">
        <f t="shared" si="49"/>
        <v>No</v>
      </c>
      <c r="AF79" s="196">
        <f t="shared" si="40"/>
        <v>8225.1375829999997</v>
      </c>
      <c r="AG79" s="159" t="str">
        <f t="shared" si="50"/>
        <v>Not cost-effective</v>
      </c>
      <c r="AH79" s="159" t="str">
        <f t="shared" si="51"/>
        <v>Not cost-effective</v>
      </c>
      <c r="AI79" s="198">
        <f t="shared" si="52"/>
        <v>3.4220704171776042</v>
      </c>
      <c r="AJ79" s="198">
        <f t="shared" si="41"/>
        <v>0.56000000000000005</v>
      </c>
      <c r="AK79" s="159" t="str">
        <f t="shared" si="53"/>
        <v>Not cost-effective</v>
      </c>
      <c r="AL79" s="198">
        <f t="shared" si="42"/>
        <v>0.37</v>
      </c>
      <c r="AM79" s="162" t="str">
        <f t="shared" si="54"/>
        <v>Not cost-effective</v>
      </c>
      <c r="AN79" s="198" t="str">
        <f t="shared" si="43"/>
        <v/>
      </c>
      <c r="AO79" s="159" t="str">
        <f t="shared" si="55"/>
        <v>Cost-effective</v>
      </c>
      <c r="AP79" s="198" t="str">
        <f t="shared" si="44"/>
        <v/>
      </c>
      <c r="AQ79" s="159" t="str">
        <f t="shared" si="56"/>
        <v>Cost-effective</v>
      </c>
      <c r="AR79" s="198">
        <f t="shared" si="45"/>
        <v>1.6326529897923321</v>
      </c>
      <c r="AS79" s="159" t="str">
        <f t="shared" si="57"/>
        <v>Not cost-effective</v>
      </c>
      <c r="AT79" s="198">
        <f t="shared" si="46"/>
        <v>0.67666749470350318</v>
      </c>
      <c r="AU79" s="159" t="str">
        <f t="shared" si="58"/>
        <v>Not cost-effective</v>
      </c>
      <c r="AV79" s="162" t="s">
        <v>173</v>
      </c>
      <c r="AW79" s="162" t="s">
        <v>1995</v>
      </c>
      <c r="AX79" s="168">
        <f t="shared" si="59"/>
        <v>1</v>
      </c>
      <c r="AY79" s="168">
        <f t="shared" si="60"/>
        <v>1</v>
      </c>
      <c r="AZ79" s="163">
        <f t="shared" si="61"/>
        <v>0</v>
      </c>
      <c r="BA79" s="163">
        <f t="shared" si="62"/>
        <v>0</v>
      </c>
      <c r="BB79" s="163">
        <f t="shared" si="63"/>
        <v>1</v>
      </c>
      <c r="BC79" s="163">
        <f t="shared" si="64"/>
        <v>1</v>
      </c>
      <c r="BD79" s="163">
        <f t="shared" si="65"/>
        <v>4</v>
      </c>
      <c r="BE79" s="163" t="s">
        <v>157</v>
      </c>
      <c r="BF79" s="162" t="s">
        <v>1403</v>
      </c>
    </row>
    <row r="80" spans="1:58">
      <c r="A80" s="159">
        <f t="shared" si="47"/>
        <v>21</v>
      </c>
      <c r="B80" s="159">
        <f t="shared" si="48"/>
        <v>6</v>
      </c>
      <c r="C80" s="190" t="str">
        <f t="shared" si="38"/>
        <v>2106</v>
      </c>
      <c r="D80" s="159" t="s">
        <v>363</v>
      </c>
      <c r="E80" s="192">
        <v>2011</v>
      </c>
      <c r="F80" s="162" t="s">
        <v>1942</v>
      </c>
      <c r="G80" s="162" t="s">
        <v>365</v>
      </c>
      <c r="H80" s="163" t="str">
        <f t="shared" si="39"/>
        <v>UM</v>
      </c>
      <c r="I80" s="163" t="s">
        <v>157</v>
      </c>
      <c r="J80" s="162" t="s">
        <v>186</v>
      </c>
      <c r="K80" s="162" t="s">
        <v>183</v>
      </c>
      <c r="L80" s="162" t="s">
        <v>371</v>
      </c>
      <c r="M80" s="162" t="s">
        <v>2014</v>
      </c>
      <c r="N80" s="163" t="s">
        <v>157</v>
      </c>
      <c r="O80" s="162" t="s">
        <v>153</v>
      </c>
      <c r="P80" s="162" t="s">
        <v>154</v>
      </c>
      <c r="Q80" s="162" t="s">
        <v>155</v>
      </c>
      <c r="R80" s="163">
        <v>2009</v>
      </c>
      <c r="S80" s="194">
        <v>20.75</v>
      </c>
      <c r="T80" s="194">
        <f>IF(ISNUMBER(S80),S80/VLOOKUP($Q80,xRates!$A$1:$AA$267,studies!$R80-xRates!$B$1+2,FALSE),S80)</f>
        <v>20.75</v>
      </c>
      <c r="U80" s="163">
        <v>20.75</v>
      </c>
      <c r="V80" s="194">
        <v>20.75</v>
      </c>
      <c r="W80" s="163" t="s">
        <v>157</v>
      </c>
      <c r="X80" s="163" t="s">
        <v>157</v>
      </c>
      <c r="Y80" s="163" t="s">
        <v>148</v>
      </c>
      <c r="Z80" s="163" t="s">
        <v>148</v>
      </c>
      <c r="AA80" s="163" t="s">
        <v>148</v>
      </c>
      <c r="AB80" s="163" t="s">
        <v>247</v>
      </c>
      <c r="AC80" s="196">
        <v>27614</v>
      </c>
      <c r="AD80" s="196">
        <f t="shared" si="66"/>
        <v>27614</v>
      </c>
      <c r="AE80" s="192" t="str">
        <f t="shared" si="49"/>
        <v>No</v>
      </c>
      <c r="AF80" s="196">
        <f t="shared" si="40"/>
        <v>8225.1375829999997</v>
      </c>
      <c r="AG80" s="159" t="str">
        <f t="shared" si="50"/>
        <v>Not cost-effective</v>
      </c>
      <c r="AH80" s="159" t="str">
        <f t="shared" si="51"/>
        <v>Not cost-effective</v>
      </c>
      <c r="AI80" s="198">
        <f t="shared" si="52"/>
        <v>3.3572690695257883</v>
      </c>
      <c r="AJ80" s="198">
        <f t="shared" si="41"/>
        <v>0.56000000000000005</v>
      </c>
      <c r="AK80" s="159" t="str">
        <f t="shared" si="53"/>
        <v>Not cost-effective</v>
      </c>
      <c r="AL80" s="198">
        <f t="shared" si="42"/>
        <v>0.37</v>
      </c>
      <c r="AM80" s="162" t="str">
        <f t="shared" si="54"/>
        <v>Not cost-effective</v>
      </c>
      <c r="AN80" s="198" t="str">
        <f t="shared" si="43"/>
        <v/>
      </c>
      <c r="AO80" s="159" t="str">
        <f t="shared" si="55"/>
        <v>Cost-effective</v>
      </c>
      <c r="AP80" s="198" t="str">
        <f t="shared" si="44"/>
        <v/>
      </c>
      <c r="AQ80" s="159" t="str">
        <f t="shared" si="56"/>
        <v>Cost-effective</v>
      </c>
      <c r="AR80" s="198">
        <f t="shared" si="45"/>
        <v>1.6326529897923321</v>
      </c>
      <c r="AS80" s="159" t="str">
        <f t="shared" si="57"/>
        <v>Not cost-effective</v>
      </c>
      <c r="AT80" s="198">
        <f t="shared" si="46"/>
        <v>0.67666749470350318</v>
      </c>
      <c r="AU80" s="159" t="str">
        <f t="shared" si="58"/>
        <v>Not cost-effective</v>
      </c>
      <c r="AV80" s="162" t="s">
        <v>173</v>
      </c>
      <c r="AW80" s="162" t="s">
        <v>1995</v>
      </c>
      <c r="AX80" s="168">
        <f t="shared" si="59"/>
        <v>1</v>
      </c>
      <c r="AY80" s="168">
        <f t="shared" si="60"/>
        <v>1</v>
      </c>
      <c r="AZ80" s="163">
        <f t="shared" si="61"/>
        <v>0</v>
      </c>
      <c r="BA80" s="163">
        <f t="shared" si="62"/>
        <v>0</v>
      </c>
      <c r="BB80" s="163">
        <f t="shared" si="63"/>
        <v>1</v>
      </c>
      <c r="BC80" s="163">
        <f t="shared" si="64"/>
        <v>1</v>
      </c>
      <c r="BD80" s="163">
        <f t="shared" si="65"/>
        <v>4</v>
      </c>
      <c r="BE80" s="163" t="s">
        <v>157</v>
      </c>
      <c r="BF80" s="162" t="s">
        <v>1403</v>
      </c>
    </row>
    <row r="81" spans="1:58">
      <c r="A81" s="159">
        <f t="shared" si="47"/>
        <v>22</v>
      </c>
      <c r="B81" s="159">
        <f t="shared" si="48"/>
        <v>1</v>
      </c>
      <c r="C81" s="190" t="str">
        <f t="shared" si="38"/>
        <v>2201</v>
      </c>
      <c r="D81" s="159" t="s">
        <v>375</v>
      </c>
      <c r="E81" s="192">
        <v>2011</v>
      </c>
      <c r="F81" s="162" t="s">
        <v>1943</v>
      </c>
      <c r="G81" s="162" t="s">
        <v>346</v>
      </c>
      <c r="H81" s="163" t="str">
        <f t="shared" si="39"/>
        <v>L</v>
      </c>
      <c r="I81" s="163" t="s">
        <v>157</v>
      </c>
      <c r="J81" s="162" t="s">
        <v>348</v>
      </c>
      <c r="K81" s="162" t="s">
        <v>151</v>
      </c>
      <c r="L81" s="162" t="s">
        <v>651</v>
      </c>
      <c r="M81" s="162" t="s">
        <v>2013</v>
      </c>
      <c r="N81" s="163" t="s">
        <v>148</v>
      </c>
      <c r="O81" s="162" t="s">
        <v>153</v>
      </c>
      <c r="P81" s="162" t="s">
        <v>154</v>
      </c>
      <c r="Q81" s="162" t="s">
        <v>155</v>
      </c>
      <c r="R81" s="163">
        <v>2005</v>
      </c>
      <c r="S81" s="194">
        <v>5</v>
      </c>
      <c r="T81" s="194">
        <f>IF(ISNUMBER(S81),S81/VLOOKUP($Q81,xRates!$A$1:$AA$267,studies!$R81-xRates!$B$1+2,FALSE),S81)</f>
        <v>5</v>
      </c>
      <c r="V81" s="194"/>
      <c r="W81" s="163" t="s">
        <v>157</v>
      </c>
      <c r="X81" s="163" t="s">
        <v>157</v>
      </c>
      <c r="Y81" s="163" t="s">
        <v>148</v>
      </c>
      <c r="Z81" s="163" t="s">
        <v>148</v>
      </c>
      <c r="AA81" s="163" t="s">
        <v>157</v>
      </c>
      <c r="AB81" s="163" t="s">
        <v>247</v>
      </c>
      <c r="AC81" s="196">
        <v>26</v>
      </c>
      <c r="AD81" s="196">
        <f t="shared" si="66"/>
        <v>26</v>
      </c>
      <c r="AE81" s="192" t="str">
        <f t="shared" si="49"/>
        <v>No</v>
      </c>
      <c r="AF81" s="196">
        <f t="shared" si="40"/>
        <v>665.72021570000004</v>
      </c>
      <c r="AG81" s="159" t="str">
        <f t="shared" si="50"/>
        <v>Cost-effective</v>
      </c>
      <c r="AH81" s="159" t="str">
        <f t="shared" si="51"/>
        <v>Cost-effective</v>
      </c>
      <c r="AI81" s="198">
        <f t="shared" si="52"/>
        <v>3.905544609706825E-2</v>
      </c>
      <c r="AJ81" s="198">
        <f t="shared" si="41"/>
        <v>0.69</v>
      </c>
      <c r="AK81" s="159" t="str">
        <f t="shared" si="53"/>
        <v>Cost-effective</v>
      </c>
      <c r="AL81" s="198">
        <f t="shared" si="42"/>
        <v>0.52</v>
      </c>
      <c r="AM81" s="162" t="str">
        <f t="shared" si="54"/>
        <v>Cost-effective</v>
      </c>
      <c r="AN81" s="198">
        <f t="shared" si="43"/>
        <v>0.35973480239731703</v>
      </c>
      <c r="AO81" s="159" t="str">
        <f t="shared" si="55"/>
        <v>Cost-effective</v>
      </c>
      <c r="AP81" s="198">
        <f t="shared" si="44"/>
        <v>1.7130228685586526E-2</v>
      </c>
      <c r="AQ81" s="159" t="str">
        <f t="shared" si="56"/>
        <v>Not cost-effective</v>
      </c>
      <c r="AR81" s="198">
        <f t="shared" si="45"/>
        <v>0.25516617130748365</v>
      </c>
      <c r="AS81" s="159" t="str">
        <f t="shared" si="57"/>
        <v>Cost-effective</v>
      </c>
      <c r="AT81" s="198">
        <f t="shared" si="46"/>
        <v>5.0515130360364778E-2</v>
      </c>
      <c r="AU81" s="159" t="str">
        <f t="shared" si="58"/>
        <v>Cost-effective</v>
      </c>
      <c r="AV81" s="162" t="s">
        <v>210</v>
      </c>
      <c r="AW81" s="162" t="s">
        <v>1995</v>
      </c>
      <c r="AX81" s="168">
        <f t="shared" si="59"/>
        <v>0</v>
      </c>
      <c r="AY81" s="168">
        <f t="shared" si="60"/>
        <v>0</v>
      </c>
      <c r="AZ81" s="163">
        <f t="shared" si="61"/>
        <v>0</v>
      </c>
      <c r="BA81" s="163">
        <f t="shared" si="62"/>
        <v>1</v>
      </c>
      <c r="BB81" s="163">
        <f t="shared" si="63"/>
        <v>0</v>
      </c>
      <c r="BC81" s="163">
        <f t="shared" si="64"/>
        <v>0</v>
      </c>
      <c r="BD81" s="163">
        <f t="shared" si="65"/>
        <v>1</v>
      </c>
      <c r="BE81" s="163" t="s">
        <v>148</v>
      </c>
      <c r="BF81" s="162" t="s">
        <v>1403</v>
      </c>
    </row>
    <row r="82" spans="1:58">
      <c r="A82" s="159">
        <f t="shared" si="47"/>
        <v>23</v>
      </c>
      <c r="B82" s="159">
        <f t="shared" si="48"/>
        <v>1</v>
      </c>
      <c r="C82" s="190" t="str">
        <f t="shared" si="38"/>
        <v>2301</v>
      </c>
      <c r="D82" s="159" t="s">
        <v>380</v>
      </c>
      <c r="E82" s="192">
        <v>2013</v>
      </c>
      <c r="F82" s="162" t="s">
        <v>1944</v>
      </c>
      <c r="G82" s="162" t="s">
        <v>382</v>
      </c>
      <c r="H82" s="163" t="str">
        <f t="shared" si="39"/>
        <v>L</v>
      </c>
      <c r="I82" s="163" t="s">
        <v>157</v>
      </c>
      <c r="J82" s="162" t="s">
        <v>183</v>
      </c>
      <c r="K82" s="162" t="s">
        <v>151</v>
      </c>
      <c r="L82" s="162" t="s">
        <v>352</v>
      </c>
      <c r="M82" s="162" t="s">
        <v>2015</v>
      </c>
      <c r="N82" s="163" t="s">
        <v>148</v>
      </c>
      <c r="O82" s="162" t="s">
        <v>153</v>
      </c>
      <c r="P82" s="162" t="s">
        <v>154</v>
      </c>
      <c r="Q82" s="162" t="s">
        <v>155</v>
      </c>
      <c r="R82" s="163">
        <v>2010</v>
      </c>
      <c r="S82" s="194">
        <v>3.5</v>
      </c>
      <c r="T82" s="194">
        <f>IF(ISNUMBER(S82),S82/VLOOKUP($Q82,xRates!$A$1:$AA$267,studies!$R82-xRates!$B$1+2,FALSE),S82)</f>
        <v>3.5</v>
      </c>
      <c r="V82" s="194"/>
      <c r="W82" s="163" t="s">
        <v>157</v>
      </c>
      <c r="X82" s="163" t="s">
        <v>157</v>
      </c>
      <c r="Y82" s="163" t="s">
        <v>148</v>
      </c>
      <c r="Z82" s="163" t="s">
        <v>148</v>
      </c>
      <c r="AA82" s="163" t="s">
        <v>157</v>
      </c>
      <c r="AB82" s="163" t="s">
        <v>247</v>
      </c>
      <c r="AC82" s="196">
        <v>59</v>
      </c>
      <c r="AD82" s="196">
        <f t="shared" si="66"/>
        <v>59</v>
      </c>
      <c r="AE82" s="192" t="str">
        <f t="shared" si="49"/>
        <v>No</v>
      </c>
      <c r="AF82" s="196">
        <f t="shared" si="40"/>
        <v>1080.296184</v>
      </c>
      <c r="AG82" s="159" t="str">
        <f t="shared" si="50"/>
        <v>Cost-effective</v>
      </c>
      <c r="AH82" s="159" t="str">
        <f t="shared" si="51"/>
        <v>Cost-effective</v>
      </c>
      <c r="AI82" s="198">
        <f t="shared" si="52"/>
        <v>5.461465186477045E-2</v>
      </c>
      <c r="AJ82" s="198">
        <f t="shared" si="41"/>
        <v>0.47</v>
      </c>
      <c r="AK82" s="159" t="str">
        <f t="shared" si="53"/>
        <v>Cost-effective</v>
      </c>
      <c r="AL82" s="198">
        <f t="shared" si="42"/>
        <v>0.36</v>
      </c>
      <c r="AM82" s="162" t="str">
        <f t="shared" si="54"/>
        <v>Cost-effective</v>
      </c>
      <c r="AN82" s="198">
        <f t="shared" si="43"/>
        <v>0.38307648302682684</v>
      </c>
      <c r="AO82" s="159" t="str">
        <f t="shared" si="55"/>
        <v>Cost-effective</v>
      </c>
      <c r="AP82" s="198">
        <f t="shared" si="44"/>
        <v>2.3619359261769671E-2</v>
      </c>
      <c r="AQ82" s="159" t="str">
        <f t="shared" si="56"/>
        <v>Not cost-effective</v>
      </c>
      <c r="AR82" s="198">
        <f t="shared" si="45"/>
        <v>0.405720265287076</v>
      </c>
      <c r="AS82" s="159" t="str">
        <f t="shared" si="57"/>
        <v>Cost-effective</v>
      </c>
      <c r="AT82" s="198">
        <f t="shared" si="46"/>
        <v>0.16312464274428828</v>
      </c>
      <c r="AU82" s="159" t="str">
        <f t="shared" si="58"/>
        <v>Cost-effective</v>
      </c>
      <c r="AV82" s="162" t="s">
        <v>210</v>
      </c>
      <c r="AW82" s="162" t="s">
        <v>1995</v>
      </c>
      <c r="AX82" s="168">
        <f t="shared" si="59"/>
        <v>0</v>
      </c>
      <c r="AY82" s="168">
        <f t="shared" si="60"/>
        <v>0</v>
      </c>
      <c r="AZ82" s="163">
        <f t="shared" si="61"/>
        <v>0</v>
      </c>
      <c r="BA82" s="163">
        <f t="shared" si="62"/>
        <v>1</v>
      </c>
      <c r="BB82" s="163">
        <f t="shared" si="63"/>
        <v>0</v>
      </c>
      <c r="BC82" s="163">
        <f t="shared" si="64"/>
        <v>0</v>
      </c>
      <c r="BD82" s="163">
        <f t="shared" si="65"/>
        <v>1</v>
      </c>
      <c r="BE82" s="163" t="s">
        <v>157</v>
      </c>
      <c r="BF82" s="162" t="s">
        <v>1426</v>
      </c>
    </row>
    <row r="83" spans="1:58">
      <c r="A83" s="159">
        <f t="shared" si="47"/>
        <v>23</v>
      </c>
      <c r="B83" s="159">
        <f t="shared" si="48"/>
        <v>2</v>
      </c>
      <c r="C83" s="190" t="str">
        <f t="shared" si="38"/>
        <v>2302</v>
      </c>
      <c r="D83" s="159" t="s">
        <v>380</v>
      </c>
      <c r="E83" s="192">
        <v>2013</v>
      </c>
      <c r="F83" s="162" t="s">
        <v>1944</v>
      </c>
      <c r="G83" s="162" t="s">
        <v>382</v>
      </c>
      <c r="H83" s="163" t="str">
        <f t="shared" si="39"/>
        <v>L</v>
      </c>
      <c r="I83" s="163" t="s">
        <v>157</v>
      </c>
      <c r="J83" s="162" t="s">
        <v>186</v>
      </c>
      <c r="K83" s="162" t="s">
        <v>151</v>
      </c>
      <c r="L83" s="162" t="s">
        <v>353</v>
      </c>
      <c r="M83" s="162" t="s">
        <v>2015</v>
      </c>
      <c r="N83" s="163" t="s">
        <v>148</v>
      </c>
      <c r="O83" s="162" t="s">
        <v>153</v>
      </c>
      <c r="P83" s="162" t="s">
        <v>154</v>
      </c>
      <c r="Q83" s="162" t="s">
        <v>155</v>
      </c>
      <c r="R83" s="163">
        <v>2010</v>
      </c>
      <c r="S83" s="194">
        <v>3.5</v>
      </c>
      <c r="T83" s="194">
        <f>IF(ISNUMBER(S83),S83/VLOOKUP($Q83,xRates!$A$1:$AA$267,studies!$R83-xRates!$B$1+2,FALSE),S83)</f>
        <v>3.5</v>
      </c>
      <c r="V83" s="194"/>
      <c r="W83" s="163" t="s">
        <v>157</v>
      </c>
      <c r="X83" s="163" t="s">
        <v>157</v>
      </c>
      <c r="Y83" s="163" t="s">
        <v>148</v>
      </c>
      <c r="Z83" s="163" t="s">
        <v>148</v>
      </c>
      <c r="AA83" s="163" t="s">
        <v>157</v>
      </c>
      <c r="AB83" s="163" t="s">
        <v>247</v>
      </c>
      <c r="AC83" s="196">
        <v>47</v>
      </c>
      <c r="AD83" s="196">
        <f t="shared" si="66"/>
        <v>47</v>
      </c>
      <c r="AE83" s="192" t="str">
        <f t="shared" si="49"/>
        <v>No</v>
      </c>
      <c r="AF83" s="196">
        <f t="shared" si="40"/>
        <v>1080.296184</v>
      </c>
      <c r="AG83" s="159" t="str">
        <f t="shared" si="50"/>
        <v>Cost-effective</v>
      </c>
      <c r="AH83" s="159" t="str">
        <f t="shared" si="51"/>
        <v>Cost-effective</v>
      </c>
      <c r="AI83" s="198">
        <f t="shared" si="52"/>
        <v>4.3506587078715443E-2</v>
      </c>
      <c r="AJ83" s="198">
        <f t="shared" si="41"/>
        <v>0.47</v>
      </c>
      <c r="AK83" s="159" t="str">
        <f t="shared" si="53"/>
        <v>Cost-effective</v>
      </c>
      <c r="AL83" s="198">
        <f t="shared" si="42"/>
        <v>0.36</v>
      </c>
      <c r="AM83" s="162" t="str">
        <f t="shared" si="54"/>
        <v>Cost-effective</v>
      </c>
      <c r="AN83" s="198">
        <f t="shared" si="43"/>
        <v>0.38307648302682684</v>
      </c>
      <c r="AO83" s="159" t="str">
        <f t="shared" si="55"/>
        <v>Cost-effective</v>
      </c>
      <c r="AP83" s="198">
        <f t="shared" si="44"/>
        <v>2.3619359261769671E-2</v>
      </c>
      <c r="AQ83" s="159" t="str">
        <f t="shared" si="56"/>
        <v>Not cost-effective</v>
      </c>
      <c r="AR83" s="198">
        <f t="shared" si="45"/>
        <v>0.405720265287076</v>
      </c>
      <c r="AS83" s="159" t="str">
        <f t="shared" si="57"/>
        <v>Cost-effective</v>
      </c>
      <c r="AT83" s="198">
        <f t="shared" si="46"/>
        <v>0.16312464274428828</v>
      </c>
      <c r="AU83" s="159" t="str">
        <f t="shared" si="58"/>
        <v>Cost-effective</v>
      </c>
      <c r="AV83" s="162" t="s">
        <v>210</v>
      </c>
      <c r="AW83" s="162" t="s">
        <v>1995</v>
      </c>
      <c r="AX83" s="168">
        <f t="shared" si="59"/>
        <v>0</v>
      </c>
      <c r="AY83" s="168">
        <f t="shared" si="60"/>
        <v>0</v>
      </c>
      <c r="AZ83" s="163">
        <f t="shared" si="61"/>
        <v>0</v>
      </c>
      <c r="BA83" s="163">
        <f t="shared" si="62"/>
        <v>1</v>
      </c>
      <c r="BB83" s="163">
        <f t="shared" si="63"/>
        <v>0</v>
      </c>
      <c r="BC83" s="163">
        <f t="shared" si="64"/>
        <v>0</v>
      </c>
      <c r="BD83" s="163">
        <f t="shared" si="65"/>
        <v>1</v>
      </c>
      <c r="BE83" s="163" t="s">
        <v>157</v>
      </c>
      <c r="BF83" s="162" t="s">
        <v>1426</v>
      </c>
    </row>
    <row r="84" spans="1:58">
      <c r="A84" s="159">
        <f t="shared" si="47"/>
        <v>23</v>
      </c>
      <c r="B84" s="159">
        <f t="shared" si="48"/>
        <v>3</v>
      </c>
      <c r="C84" s="190" t="str">
        <f t="shared" si="38"/>
        <v>2303</v>
      </c>
      <c r="D84" s="159" t="s">
        <v>380</v>
      </c>
      <c r="E84" s="192">
        <v>2013</v>
      </c>
      <c r="F84" s="162" t="s">
        <v>1944</v>
      </c>
      <c r="G84" s="162" t="s">
        <v>382</v>
      </c>
      <c r="H84" s="163" t="str">
        <f t="shared" si="39"/>
        <v>L</v>
      </c>
      <c r="I84" s="163" t="s">
        <v>157</v>
      </c>
      <c r="J84" s="162" t="s">
        <v>183</v>
      </c>
      <c r="K84" s="162" t="s">
        <v>151</v>
      </c>
      <c r="L84" s="162" t="s">
        <v>352</v>
      </c>
      <c r="M84" s="162" t="s">
        <v>2015</v>
      </c>
      <c r="N84" s="163" t="s">
        <v>157</v>
      </c>
      <c r="O84" s="162" t="s">
        <v>153</v>
      </c>
      <c r="P84" s="162" t="s">
        <v>154</v>
      </c>
      <c r="Q84" s="162" t="s">
        <v>155</v>
      </c>
      <c r="R84" s="163">
        <v>2010</v>
      </c>
      <c r="S84" s="194">
        <v>3.5</v>
      </c>
      <c r="T84" s="194">
        <f>IF(ISNUMBER(S84),S84/VLOOKUP($Q84,xRates!$A$1:$AA$267,studies!$R84-xRates!$B$1+2,FALSE),S84)</f>
        <v>3.5</v>
      </c>
      <c r="V84" s="194"/>
      <c r="W84" s="163" t="s">
        <v>148</v>
      </c>
      <c r="X84" s="163" t="s">
        <v>148</v>
      </c>
      <c r="Y84" s="163" t="s">
        <v>148</v>
      </c>
      <c r="Z84" s="163" t="s">
        <v>148</v>
      </c>
      <c r="AA84" s="163" t="s">
        <v>157</v>
      </c>
      <c r="AB84" s="163" t="s">
        <v>247</v>
      </c>
      <c r="AC84" s="196">
        <v>32</v>
      </c>
      <c r="AD84" s="196">
        <f t="shared" si="66"/>
        <v>32</v>
      </c>
      <c r="AE84" s="192" t="str">
        <f t="shared" si="49"/>
        <v>No</v>
      </c>
      <c r="AF84" s="196">
        <f t="shared" si="40"/>
        <v>1080.296184</v>
      </c>
      <c r="AG84" s="159" t="str">
        <f t="shared" si="50"/>
        <v>Cost-effective</v>
      </c>
      <c r="AH84" s="159" t="str">
        <f t="shared" si="51"/>
        <v>Cost-effective</v>
      </c>
      <c r="AI84" s="198">
        <f t="shared" si="52"/>
        <v>2.9621506096146683E-2</v>
      </c>
      <c r="AJ84" s="198">
        <f t="shared" si="41"/>
        <v>0.47</v>
      </c>
      <c r="AK84" s="159" t="str">
        <f t="shared" si="53"/>
        <v>Cost-effective</v>
      </c>
      <c r="AL84" s="198">
        <f t="shared" si="42"/>
        <v>0.36</v>
      </c>
      <c r="AM84" s="162" t="str">
        <f t="shared" si="54"/>
        <v>Cost-effective</v>
      </c>
      <c r="AN84" s="198">
        <f t="shared" si="43"/>
        <v>0.38307648302682684</v>
      </c>
      <c r="AO84" s="159" t="str">
        <f t="shared" si="55"/>
        <v>Cost-effective</v>
      </c>
      <c r="AP84" s="198">
        <f t="shared" si="44"/>
        <v>2.3619359261769671E-2</v>
      </c>
      <c r="AQ84" s="159" t="str">
        <f t="shared" si="56"/>
        <v>Not cost-effective</v>
      </c>
      <c r="AR84" s="198">
        <f t="shared" si="45"/>
        <v>0.405720265287076</v>
      </c>
      <c r="AS84" s="159" t="str">
        <f t="shared" si="57"/>
        <v>Cost-effective</v>
      </c>
      <c r="AT84" s="198">
        <f t="shared" si="46"/>
        <v>0.16312464274428828</v>
      </c>
      <c r="AU84" s="159" t="str">
        <f t="shared" si="58"/>
        <v>Cost-effective</v>
      </c>
      <c r="AV84" s="162" t="s">
        <v>210</v>
      </c>
      <c r="AW84" s="162" t="s">
        <v>1995</v>
      </c>
      <c r="AX84" s="168">
        <f t="shared" si="59"/>
        <v>0</v>
      </c>
      <c r="AY84" s="168">
        <f t="shared" si="60"/>
        <v>0</v>
      </c>
      <c r="AZ84" s="163">
        <f t="shared" si="61"/>
        <v>0</v>
      </c>
      <c r="BA84" s="163">
        <f t="shared" si="62"/>
        <v>1</v>
      </c>
      <c r="BB84" s="163">
        <f t="shared" si="63"/>
        <v>0</v>
      </c>
      <c r="BC84" s="163">
        <f t="shared" si="64"/>
        <v>0</v>
      </c>
      <c r="BD84" s="163">
        <f t="shared" si="65"/>
        <v>1</v>
      </c>
      <c r="BE84" s="163" t="s">
        <v>157</v>
      </c>
      <c r="BF84" s="162" t="s">
        <v>1426</v>
      </c>
    </row>
    <row r="85" spans="1:58">
      <c r="A85" s="159">
        <f t="shared" si="47"/>
        <v>23</v>
      </c>
      <c r="B85" s="159">
        <f t="shared" si="48"/>
        <v>4</v>
      </c>
      <c r="C85" s="190" t="str">
        <f t="shared" si="38"/>
        <v>2304</v>
      </c>
      <c r="D85" s="159" t="s">
        <v>380</v>
      </c>
      <c r="E85" s="192">
        <v>2013</v>
      </c>
      <c r="F85" s="162" t="s">
        <v>1944</v>
      </c>
      <c r="G85" s="162" t="s">
        <v>382</v>
      </c>
      <c r="H85" s="163" t="str">
        <f t="shared" si="39"/>
        <v>L</v>
      </c>
      <c r="I85" s="163" t="s">
        <v>157</v>
      </c>
      <c r="J85" s="162" t="s">
        <v>186</v>
      </c>
      <c r="K85" s="162" t="s">
        <v>151</v>
      </c>
      <c r="L85" s="162" t="s">
        <v>353</v>
      </c>
      <c r="M85" s="162" t="s">
        <v>2015</v>
      </c>
      <c r="N85" s="163" t="s">
        <v>157</v>
      </c>
      <c r="O85" s="162" t="s">
        <v>153</v>
      </c>
      <c r="P85" s="162" t="s">
        <v>154</v>
      </c>
      <c r="Q85" s="162" t="s">
        <v>155</v>
      </c>
      <c r="R85" s="163">
        <v>2010</v>
      </c>
      <c r="S85" s="194">
        <v>3.5</v>
      </c>
      <c r="T85" s="194">
        <f>IF(ISNUMBER(S85),S85/VLOOKUP($Q85,xRates!$A$1:$AA$267,studies!$R85-xRates!$B$1+2,FALSE),S85)</f>
        <v>3.5</v>
      </c>
      <c r="V85" s="194"/>
      <c r="W85" s="163" t="s">
        <v>148</v>
      </c>
      <c r="X85" s="163" t="s">
        <v>148</v>
      </c>
      <c r="Y85" s="163" t="s">
        <v>148</v>
      </c>
      <c r="Z85" s="163" t="s">
        <v>148</v>
      </c>
      <c r="AA85" s="163" t="s">
        <v>157</v>
      </c>
      <c r="AB85" s="163" t="s">
        <v>247</v>
      </c>
      <c r="AC85" s="196">
        <v>25</v>
      </c>
      <c r="AD85" s="196">
        <f t="shared" si="66"/>
        <v>25</v>
      </c>
      <c r="AE85" s="192" t="str">
        <f t="shared" si="49"/>
        <v>No</v>
      </c>
      <c r="AF85" s="196">
        <f t="shared" si="40"/>
        <v>1080.296184</v>
      </c>
      <c r="AG85" s="159" t="str">
        <f t="shared" si="50"/>
        <v>Cost-effective</v>
      </c>
      <c r="AH85" s="159" t="str">
        <f t="shared" si="51"/>
        <v>Cost-effective</v>
      </c>
      <c r="AI85" s="198">
        <f t="shared" si="52"/>
        <v>2.3141801637614597E-2</v>
      </c>
      <c r="AJ85" s="198">
        <f t="shared" si="41"/>
        <v>0.47</v>
      </c>
      <c r="AK85" s="159" t="str">
        <f t="shared" si="53"/>
        <v>Cost-effective</v>
      </c>
      <c r="AL85" s="198">
        <f t="shared" si="42"/>
        <v>0.36</v>
      </c>
      <c r="AM85" s="162" t="str">
        <f t="shared" si="54"/>
        <v>Cost-effective</v>
      </c>
      <c r="AN85" s="198">
        <f t="shared" si="43"/>
        <v>0.38307648302682684</v>
      </c>
      <c r="AO85" s="159" t="str">
        <f t="shared" si="55"/>
        <v>Cost-effective</v>
      </c>
      <c r="AP85" s="198">
        <f t="shared" si="44"/>
        <v>2.3619359261769671E-2</v>
      </c>
      <c r="AQ85" s="159" t="str">
        <f t="shared" si="56"/>
        <v>Cost-effective</v>
      </c>
      <c r="AR85" s="198">
        <f t="shared" si="45"/>
        <v>0.405720265287076</v>
      </c>
      <c r="AS85" s="159" t="str">
        <f t="shared" si="57"/>
        <v>Cost-effective</v>
      </c>
      <c r="AT85" s="198">
        <f t="shared" si="46"/>
        <v>0.16312464274428828</v>
      </c>
      <c r="AU85" s="159" t="str">
        <f t="shared" si="58"/>
        <v>Cost-effective</v>
      </c>
      <c r="AV85" s="162" t="s">
        <v>210</v>
      </c>
      <c r="AW85" s="162" t="s">
        <v>1995</v>
      </c>
      <c r="AX85" s="168">
        <f t="shared" si="59"/>
        <v>0</v>
      </c>
      <c r="AY85" s="168">
        <f t="shared" si="60"/>
        <v>0</v>
      </c>
      <c r="AZ85" s="163">
        <f t="shared" si="61"/>
        <v>0</v>
      </c>
      <c r="BA85" s="163">
        <f t="shared" si="62"/>
        <v>0</v>
      </c>
      <c r="BB85" s="163">
        <f t="shared" si="63"/>
        <v>0</v>
      </c>
      <c r="BC85" s="163">
        <f t="shared" si="64"/>
        <v>0</v>
      </c>
      <c r="BD85" s="163">
        <f t="shared" si="65"/>
        <v>0</v>
      </c>
      <c r="BE85" s="163" t="s">
        <v>157</v>
      </c>
      <c r="BF85" s="162" t="s">
        <v>1426</v>
      </c>
    </row>
    <row r="86" spans="1:58">
      <c r="A86" s="159">
        <f t="shared" si="47"/>
        <v>24</v>
      </c>
      <c r="B86" s="159">
        <f t="shared" si="48"/>
        <v>1</v>
      </c>
      <c r="C86" s="190" t="str">
        <f t="shared" si="38"/>
        <v>2401</v>
      </c>
      <c r="D86" s="159" t="s">
        <v>389</v>
      </c>
      <c r="E86" s="192">
        <v>2015</v>
      </c>
      <c r="F86" s="162" t="s">
        <v>1945</v>
      </c>
      <c r="G86" s="162" t="s">
        <v>391</v>
      </c>
      <c r="H86" s="163" t="str">
        <f t="shared" si="39"/>
        <v>L</v>
      </c>
      <c r="I86" s="163" t="s">
        <v>157</v>
      </c>
      <c r="J86" s="162" t="s">
        <v>183</v>
      </c>
      <c r="K86" s="162" t="s">
        <v>151</v>
      </c>
      <c r="L86" s="162" t="s">
        <v>352</v>
      </c>
      <c r="M86" s="162" t="s">
        <v>2015</v>
      </c>
      <c r="N86" s="163" t="s">
        <v>148</v>
      </c>
      <c r="O86" s="162" t="s">
        <v>1979</v>
      </c>
      <c r="P86" s="162" t="s">
        <v>154</v>
      </c>
      <c r="Q86" s="162" t="s">
        <v>155</v>
      </c>
      <c r="R86" s="163">
        <v>2011</v>
      </c>
      <c r="S86" s="194">
        <v>7</v>
      </c>
      <c r="T86" s="194">
        <f>IF(ISNUMBER(S86),S86/VLOOKUP($Q86,xRates!$A$1:$AA$267,studies!$R86-xRates!$B$1+2,FALSE),S86)</f>
        <v>7</v>
      </c>
      <c r="V86" s="194"/>
      <c r="W86" s="163" t="s">
        <v>157</v>
      </c>
      <c r="X86" s="163" t="s">
        <v>157</v>
      </c>
      <c r="Y86" s="163" t="s">
        <v>148</v>
      </c>
      <c r="Z86" s="163" t="s">
        <v>157</v>
      </c>
      <c r="AA86" s="163" t="s">
        <v>157</v>
      </c>
      <c r="AB86" s="163" t="s">
        <v>247</v>
      </c>
      <c r="AC86" s="196">
        <v>114.84</v>
      </c>
      <c r="AD86" s="196">
        <f t="shared" si="66"/>
        <v>114.84</v>
      </c>
      <c r="AE86" s="192" t="str">
        <f t="shared" si="49"/>
        <v>No</v>
      </c>
      <c r="AF86" s="196">
        <f t="shared" si="40"/>
        <v>297.95535776596103</v>
      </c>
      <c r="AG86" s="159" t="str">
        <f t="shared" si="50"/>
        <v>Cost-effective</v>
      </c>
      <c r="AH86" s="159" t="str">
        <f t="shared" si="51"/>
        <v>Cost-effective</v>
      </c>
      <c r="AI86" s="198">
        <f t="shared" si="52"/>
        <v>0.38542686683353722</v>
      </c>
      <c r="AJ86" s="198" t="str">
        <f t="shared" si="41"/>
        <v/>
      </c>
      <c r="AK86" s="159" t="str">
        <f t="shared" si="53"/>
        <v>Cost-effective</v>
      </c>
      <c r="AL86" s="198" t="str">
        <f t="shared" si="42"/>
        <v/>
      </c>
      <c r="AM86" s="162" t="str">
        <f t="shared" si="54"/>
        <v>Cost-effective</v>
      </c>
      <c r="AN86" s="198" t="str">
        <f t="shared" si="43"/>
        <v/>
      </c>
      <c r="AO86" s="159" t="str">
        <f t="shared" si="55"/>
        <v>Cost-effective</v>
      </c>
      <c r="AP86" s="198" t="str">
        <f t="shared" si="44"/>
        <v/>
      </c>
      <c r="AQ86" s="159" t="str">
        <f t="shared" si="56"/>
        <v>Cost-effective</v>
      </c>
      <c r="AR86" s="198" t="str">
        <f t="shared" si="45"/>
        <v/>
      </c>
      <c r="AS86" s="159" t="str">
        <f t="shared" si="57"/>
        <v>Cost-effective</v>
      </c>
      <c r="AT86" s="198" t="str">
        <f t="shared" si="46"/>
        <v/>
      </c>
      <c r="AU86" s="159" t="str">
        <f t="shared" si="58"/>
        <v>Cost-effective</v>
      </c>
      <c r="AV86" s="162" t="s">
        <v>173</v>
      </c>
      <c r="AW86" s="162" t="s">
        <v>1995</v>
      </c>
      <c r="AX86" s="168">
        <f t="shared" si="59"/>
        <v>0</v>
      </c>
      <c r="AY86" s="168">
        <f t="shared" si="60"/>
        <v>0</v>
      </c>
      <c r="AZ86" s="163">
        <f t="shared" si="61"/>
        <v>0</v>
      </c>
      <c r="BA86" s="163">
        <f t="shared" si="62"/>
        <v>0</v>
      </c>
      <c r="BB86" s="163">
        <f t="shared" si="63"/>
        <v>0</v>
      </c>
      <c r="BC86" s="163">
        <f t="shared" si="64"/>
        <v>0</v>
      </c>
      <c r="BD86" s="163">
        <f t="shared" si="65"/>
        <v>0</v>
      </c>
      <c r="BE86" s="163" t="s">
        <v>157</v>
      </c>
      <c r="BF86" s="162" t="s">
        <v>1403</v>
      </c>
    </row>
    <row r="87" spans="1:58">
      <c r="A87" s="159">
        <f t="shared" si="47"/>
        <v>24</v>
      </c>
      <c r="B87" s="159">
        <f t="shared" si="48"/>
        <v>2</v>
      </c>
      <c r="C87" s="190" t="str">
        <f t="shared" si="38"/>
        <v>2402</v>
      </c>
      <c r="D87" s="159" t="s">
        <v>389</v>
      </c>
      <c r="E87" s="192">
        <v>2015</v>
      </c>
      <c r="F87" s="162" t="s">
        <v>1945</v>
      </c>
      <c r="G87" s="162" t="s">
        <v>391</v>
      </c>
      <c r="H87" s="163" t="str">
        <f t="shared" si="39"/>
        <v>L</v>
      </c>
      <c r="I87" s="163" t="s">
        <v>157</v>
      </c>
      <c r="J87" s="162" t="s">
        <v>183</v>
      </c>
      <c r="K87" s="162" t="s">
        <v>151</v>
      </c>
      <c r="L87" s="162" t="s">
        <v>352</v>
      </c>
      <c r="M87" s="162" t="s">
        <v>2015</v>
      </c>
      <c r="N87" s="163" t="s">
        <v>148</v>
      </c>
      <c r="O87" s="162" t="s">
        <v>1979</v>
      </c>
      <c r="P87" s="162" t="s">
        <v>154</v>
      </c>
      <c r="Q87" s="162" t="s">
        <v>155</v>
      </c>
      <c r="R87" s="163">
        <v>2011</v>
      </c>
      <c r="S87" s="194">
        <v>7</v>
      </c>
      <c r="T87" s="194">
        <f>IF(ISNUMBER(S87),S87/VLOOKUP($Q87,xRates!$A$1:$AA$267,studies!$R87-xRates!$B$1+2,FALSE),S87)</f>
        <v>7</v>
      </c>
      <c r="V87" s="194"/>
      <c r="W87" s="163" t="s">
        <v>157</v>
      </c>
      <c r="X87" s="163" t="s">
        <v>157</v>
      </c>
      <c r="Y87" s="163" t="s">
        <v>148</v>
      </c>
      <c r="Z87" s="163" t="s">
        <v>157</v>
      </c>
      <c r="AA87" s="163" t="s">
        <v>157</v>
      </c>
      <c r="AB87" s="163" t="s">
        <v>247</v>
      </c>
      <c r="AC87" s="196">
        <v>161.51</v>
      </c>
      <c r="AD87" s="196">
        <f t="shared" si="66"/>
        <v>161.51</v>
      </c>
      <c r="AE87" s="192" t="str">
        <f t="shared" si="49"/>
        <v>No</v>
      </c>
      <c r="AF87" s="196">
        <f t="shared" si="40"/>
        <v>297.95535776596103</v>
      </c>
      <c r="AG87" s="159" t="str">
        <f t="shared" si="50"/>
        <v>Cost-effective</v>
      </c>
      <c r="AH87" s="159" t="str">
        <f t="shared" si="51"/>
        <v>Cost-effective</v>
      </c>
      <c r="AI87" s="198">
        <f t="shared" si="52"/>
        <v>0.54206106985618763</v>
      </c>
      <c r="AJ87" s="198" t="str">
        <f t="shared" si="41"/>
        <v/>
      </c>
      <c r="AK87" s="159" t="str">
        <f t="shared" si="53"/>
        <v>Cost-effective</v>
      </c>
      <c r="AL87" s="198" t="str">
        <f t="shared" si="42"/>
        <v/>
      </c>
      <c r="AM87" s="162" t="str">
        <f t="shared" si="54"/>
        <v>Cost-effective</v>
      </c>
      <c r="AN87" s="198" t="str">
        <f t="shared" si="43"/>
        <v/>
      </c>
      <c r="AO87" s="159" t="str">
        <f t="shared" si="55"/>
        <v>Cost-effective</v>
      </c>
      <c r="AP87" s="198" t="str">
        <f t="shared" si="44"/>
        <v/>
      </c>
      <c r="AQ87" s="159" t="str">
        <f t="shared" si="56"/>
        <v>Cost-effective</v>
      </c>
      <c r="AR87" s="198" t="str">
        <f t="shared" si="45"/>
        <v/>
      </c>
      <c r="AS87" s="159" t="str">
        <f t="shared" si="57"/>
        <v>Cost-effective</v>
      </c>
      <c r="AT87" s="198" t="str">
        <f t="shared" si="46"/>
        <v/>
      </c>
      <c r="AU87" s="159" t="str">
        <f t="shared" si="58"/>
        <v>Cost-effective</v>
      </c>
      <c r="AV87" s="162" t="s">
        <v>173</v>
      </c>
      <c r="AW87" s="162" t="s">
        <v>1995</v>
      </c>
      <c r="AX87" s="168">
        <f t="shared" si="59"/>
        <v>0</v>
      </c>
      <c r="AY87" s="168">
        <f t="shared" si="60"/>
        <v>0</v>
      </c>
      <c r="AZ87" s="163">
        <f t="shared" si="61"/>
        <v>0</v>
      </c>
      <c r="BA87" s="163">
        <f t="shared" si="62"/>
        <v>0</v>
      </c>
      <c r="BB87" s="163">
        <f t="shared" si="63"/>
        <v>0</v>
      </c>
      <c r="BC87" s="163">
        <f t="shared" si="64"/>
        <v>0</v>
      </c>
      <c r="BD87" s="163">
        <f t="shared" si="65"/>
        <v>0</v>
      </c>
      <c r="BE87" s="163" t="s">
        <v>157</v>
      </c>
      <c r="BF87" s="162" t="s">
        <v>1403</v>
      </c>
    </row>
    <row r="88" spans="1:58">
      <c r="A88" s="159">
        <f t="shared" si="47"/>
        <v>25</v>
      </c>
      <c r="B88" s="159">
        <f t="shared" si="48"/>
        <v>1</v>
      </c>
      <c r="C88" s="190" t="str">
        <f t="shared" si="38"/>
        <v>2501</v>
      </c>
      <c r="D88" s="159" t="s">
        <v>396</v>
      </c>
      <c r="E88" s="192">
        <v>2015</v>
      </c>
      <c r="F88" s="162" t="s">
        <v>1946</v>
      </c>
      <c r="G88" s="162" t="s">
        <v>398</v>
      </c>
      <c r="H88" s="163" t="str">
        <f t="shared" si="39"/>
        <v>LM</v>
      </c>
      <c r="I88" s="163" t="s">
        <v>157</v>
      </c>
      <c r="J88" s="162" t="s">
        <v>186</v>
      </c>
      <c r="K88" s="162" t="s">
        <v>151</v>
      </c>
      <c r="L88" s="162" t="s">
        <v>353</v>
      </c>
      <c r="M88" s="162" t="s">
        <v>2013</v>
      </c>
      <c r="N88" s="163" t="s">
        <v>148</v>
      </c>
      <c r="O88" s="162" t="s">
        <v>1979</v>
      </c>
      <c r="P88" s="162" t="s">
        <v>154</v>
      </c>
      <c r="Q88" s="162" t="s">
        <v>155</v>
      </c>
      <c r="R88" s="163">
        <v>2013</v>
      </c>
      <c r="S88" s="194">
        <v>14.24</v>
      </c>
      <c r="T88" s="194">
        <f>IF(ISNUMBER(S88),S88/VLOOKUP($Q88,xRates!$A$1:$AA$267,studies!$R88-xRates!$B$1+2,FALSE),S88)</f>
        <v>14.24</v>
      </c>
      <c r="V88" s="194"/>
      <c r="W88" s="163" t="s">
        <v>148</v>
      </c>
      <c r="X88" s="163" t="s">
        <v>148</v>
      </c>
      <c r="Y88" s="163" t="s">
        <v>148</v>
      </c>
      <c r="Z88" s="163" t="s">
        <v>148</v>
      </c>
      <c r="AA88" s="163" t="s">
        <v>148</v>
      </c>
      <c r="AB88" s="163" t="s">
        <v>247</v>
      </c>
      <c r="AC88" s="196">
        <v>3916</v>
      </c>
      <c r="AD88" s="196">
        <f t="shared" si="66"/>
        <v>3916</v>
      </c>
      <c r="AE88" s="192" t="str">
        <f t="shared" si="49"/>
        <v>No</v>
      </c>
      <c r="AF88" s="196">
        <f t="shared" si="40"/>
        <v>3262.6575864710398</v>
      </c>
      <c r="AG88" s="159" t="str">
        <f t="shared" si="50"/>
        <v>Not cost-effective</v>
      </c>
      <c r="AH88" s="159" t="str">
        <f t="shared" si="51"/>
        <v>Cost-effective</v>
      </c>
      <c r="AI88" s="198">
        <f t="shared" si="52"/>
        <v>1.2002485385650381</v>
      </c>
      <c r="AJ88" s="198">
        <f t="shared" si="41"/>
        <v>0.41</v>
      </c>
      <c r="AK88" s="159" t="str">
        <f t="shared" si="53"/>
        <v>Not cost-effective</v>
      </c>
      <c r="AL88" s="198">
        <f t="shared" si="42"/>
        <v>0.27</v>
      </c>
      <c r="AM88" s="162" t="str">
        <f t="shared" si="54"/>
        <v>Not cost-effective</v>
      </c>
      <c r="AN88" s="198">
        <f t="shared" si="43"/>
        <v>0.61085172046989811</v>
      </c>
      <c r="AO88" s="159" t="str">
        <f t="shared" si="55"/>
        <v>Not cost-effective</v>
      </c>
      <c r="AP88" s="198">
        <f t="shared" si="44"/>
        <v>0.1599922719946246</v>
      </c>
      <c r="AQ88" s="159" t="str">
        <f t="shared" si="56"/>
        <v>Not cost-effective</v>
      </c>
      <c r="AR88" s="198">
        <f t="shared" si="45"/>
        <v>0.49220092024593476</v>
      </c>
      <c r="AS88" s="159" t="str">
        <f t="shared" si="57"/>
        <v>Not cost-effective</v>
      </c>
      <c r="AT88" s="198">
        <f t="shared" si="46"/>
        <v>0.19807277947985799</v>
      </c>
      <c r="AU88" s="159" t="str">
        <f t="shared" si="58"/>
        <v>Not cost-effective</v>
      </c>
      <c r="AV88" s="162" t="s">
        <v>160</v>
      </c>
      <c r="AW88" s="162" t="s">
        <v>1995</v>
      </c>
      <c r="AX88" s="168">
        <f t="shared" si="59"/>
        <v>1</v>
      </c>
      <c r="AY88" s="168">
        <f t="shared" si="60"/>
        <v>1</v>
      </c>
      <c r="AZ88" s="163">
        <f t="shared" si="61"/>
        <v>1</v>
      </c>
      <c r="BA88" s="163">
        <f t="shared" si="62"/>
        <v>1</v>
      </c>
      <c r="BB88" s="163">
        <f t="shared" si="63"/>
        <v>1</v>
      </c>
      <c r="BC88" s="163">
        <f t="shared" si="64"/>
        <v>1</v>
      </c>
      <c r="BD88" s="163">
        <f t="shared" si="65"/>
        <v>6</v>
      </c>
      <c r="BE88" s="163" t="s">
        <v>157</v>
      </c>
      <c r="BF88" s="162" t="s">
        <v>1426</v>
      </c>
    </row>
    <row r="89" spans="1:58">
      <c r="A89" s="159">
        <f t="shared" si="47"/>
        <v>26</v>
      </c>
      <c r="B89" s="159">
        <f t="shared" si="48"/>
        <v>1</v>
      </c>
      <c r="C89" s="190" t="str">
        <f t="shared" si="38"/>
        <v>2601</v>
      </c>
      <c r="D89" s="159" t="s">
        <v>56</v>
      </c>
      <c r="E89" s="192">
        <v>2015</v>
      </c>
      <c r="F89" s="162" t="s">
        <v>1947</v>
      </c>
      <c r="G89" s="162" t="s">
        <v>404</v>
      </c>
      <c r="H89" s="163" t="str">
        <f t="shared" si="39"/>
        <v>UM</v>
      </c>
      <c r="I89" s="163" t="s">
        <v>157</v>
      </c>
      <c r="J89" s="162" t="s">
        <v>183</v>
      </c>
      <c r="K89" s="162" t="s">
        <v>151</v>
      </c>
      <c r="L89" s="162" t="s">
        <v>352</v>
      </c>
      <c r="M89" s="162" t="s">
        <v>2014</v>
      </c>
      <c r="N89" s="163" t="s">
        <v>148</v>
      </c>
      <c r="O89" s="162" t="s">
        <v>1979</v>
      </c>
      <c r="P89" s="162" t="s">
        <v>154</v>
      </c>
      <c r="Q89" s="162" t="s">
        <v>155</v>
      </c>
      <c r="R89" s="163">
        <v>2012</v>
      </c>
      <c r="S89" s="194">
        <v>14.24</v>
      </c>
      <c r="T89" s="194">
        <f>IF(ISNUMBER(S89),S89/VLOOKUP($Q89,xRates!$A$1:$AA$267,studies!$R89-xRates!$B$1+2,FALSE),S89)</f>
        <v>14.24</v>
      </c>
      <c r="V89" s="194"/>
      <c r="W89" s="163" t="s">
        <v>157</v>
      </c>
      <c r="X89" s="163" t="s">
        <v>157</v>
      </c>
      <c r="Y89" s="163" t="s">
        <v>148</v>
      </c>
      <c r="Z89" s="163" t="s">
        <v>148</v>
      </c>
      <c r="AA89" s="163" t="s">
        <v>148</v>
      </c>
      <c r="AB89" s="163" t="s">
        <v>247</v>
      </c>
      <c r="AC89" s="196">
        <v>1605</v>
      </c>
      <c r="AD89" s="196">
        <v>1605</v>
      </c>
      <c r="AE89" s="192" t="str">
        <f t="shared" si="49"/>
        <v>No</v>
      </c>
      <c r="AF89" s="196">
        <f t="shared" si="40"/>
        <v>6528.971775</v>
      </c>
      <c r="AG89" s="159" t="str">
        <f t="shared" si="50"/>
        <v>Cost-effective</v>
      </c>
      <c r="AH89" s="159" t="str">
        <f t="shared" si="51"/>
        <v>Cost-effective</v>
      </c>
      <c r="AI89" s="198">
        <f t="shared" si="52"/>
        <v>0.24582737608786798</v>
      </c>
      <c r="AJ89" s="198">
        <f t="shared" si="41"/>
        <v>1.08</v>
      </c>
      <c r="AK89" s="159" t="str">
        <f t="shared" si="53"/>
        <v>Cost-effective</v>
      </c>
      <c r="AL89" s="198">
        <f t="shared" si="42"/>
        <v>0.64</v>
      </c>
      <c r="AM89" s="162" t="str">
        <f t="shared" si="54"/>
        <v>Cost-effective</v>
      </c>
      <c r="AN89" s="198">
        <f t="shared" si="43"/>
        <v>0.64868436103329219</v>
      </c>
      <c r="AO89" s="159" t="str">
        <f t="shared" si="55"/>
        <v>Cost-effective</v>
      </c>
      <c r="AP89" s="198">
        <f t="shared" si="44"/>
        <v>0.16487209176159878</v>
      </c>
      <c r="AQ89" s="159" t="str">
        <f t="shared" si="56"/>
        <v>Not cost-effective</v>
      </c>
      <c r="AR89" s="198">
        <f t="shared" si="45"/>
        <v>0.88451095719374262</v>
      </c>
      <c r="AS89" s="159" t="str">
        <f t="shared" si="57"/>
        <v>Cost-effective</v>
      </c>
      <c r="AT89" s="198">
        <f t="shared" si="46"/>
        <v>0.366554090368578</v>
      </c>
      <c r="AU89" s="159" t="str">
        <f t="shared" si="58"/>
        <v>Cost-effective</v>
      </c>
      <c r="AV89" s="162" t="s">
        <v>210</v>
      </c>
      <c r="AW89" s="162" t="s">
        <v>1995</v>
      </c>
      <c r="AX89" s="168">
        <f t="shared" si="59"/>
        <v>0</v>
      </c>
      <c r="AY89" s="168">
        <f t="shared" si="60"/>
        <v>0</v>
      </c>
      <c r="AZ89" s="163">
        <f t="shared" si="61"/>
        <v>0</v>
      </c>
      <c r="BA89" s="163">
        <f t="shared" si="62"/>
        <v>1</v>
      </c>
      <c r="BB89" s="163">
        <f t="shared" si="63"/>
        <v>0</v>
      </c>
      <c r="BC89" s="163">
        <f t="shared" si="64"/>
        <v>0</v>
      </c>
      <c r="BD89" s="163">
        <f t="shared" si="65"/>
        <v>1</v>
      </c>
      <c r="BE89" s="163" t="s">
        <v>148</v>
      </c>
      <c r="BF89" s="162" t="s">
        <v>1426</v>
      </c>
    </row>
    <row r="90" spans="1:58">
      <c r="A90" s="159">
        <f t="shared" si="47"/>
        <v>26</v>
      </c>
      <c r="B90" s="159">
        <f t="shared" si="48"/>
        <v>2</v>
      </c>
      <c r="C90" s="190" t="str">
        <f t="shared" si="38"/>
        <v>2602</v>
      </c>
      <c r="D90" s="159" t="s">
        <v>56</v>
      </c>
      <c r="E90" s="192">
        <v>2015</v>
      </c>
      <c r="F90" s="162" t="s">
        <v>1947</v>
      </c>
      <c r="G90" s="162" t="s">
        <v>404</v>
      </c>
      <c r="H90" s="163" t="str">
        <f t="shared" si="39"/>
        <v>UM</v>
      </c>
      <c r="I90" s="163" t="s">
        <v>157</v>
      </c>
      <c r="J90" s="162" t="s">
        <v>186</v>
      </c>
      <c r="K90" s="162" t="s">
        <v>151</v>
      </c>
      <c r="L90" s="162" t="s">
        <v>353</v>
      </c>
      <c r="M90" s="162" t="s">
        <v>2014</v>
      </c>
      <c r="N90" s="163" t="s">
        <v>148</v>
      </c>
      <c r="O90" s="162" t="s">
        <v>1979</v>
      </c>
      <c r="P90" s="162" t="s">
        <v>154</v>
      </c>
      <c r="Q90" s="162" t="s">
        <v>155</v>
      </c>
      <c r="R90" s="163">
        <v>2012</v>
      </c>
      <c r="S90" s="194">
        <v>16.34</v>
      </c>
      <c r="T90" s="194">
        <f>IF(ISNUMBER(S90),S90/VLOOKUP($Q90,xRates!$A$1:$AA$267,studies!$R90-xRates!$B$1+2,FALSE),S90)</f>
        <v>16.34</v>
      </c>
      <c r="V90" s="194"/>
      <c r="W90" s="163" t="s">
        <v>157</v>
      </c>
      <c r="X90" s="163" t="s">
        <v>157</v>
      </c>
      <c r="Y90" s="163" t="s">
        <v>148</v>
      </c>
      <c r="Z90" s="163" t="s">
        <v>148</v>
      </c>
      <c r="AA90" s="163" t="s">
        <v>148</v>
      </c>
      <c r="AB90" s="163" t="s">
        <v>247</v>
      </c>
      <c r="AC90" s="196">
        <v>1304</v>
      </c>
      <c r="AD90" s="196">
        <v>1304</v>
      </c>
      <c r="AE90" s="192" t="str">
        <f t="shared" si="49"/>
        <v>No</v>
      </c>
      <c r="AF90" s="196">
        <f t="shared" si="40"/>
        <v>6528.971775</v>
      </c>
      <c r="AG90" s="159" t="str">
        <f t="shared" si="50"/>
        <v>Cost-effective</v>
      </c>
      <c r="AH90" s="159" t="str">
        <f t="shared" si="51"/>
        <v>Cost-effective</v>
      </c>
      <c r="AI90" s="198">
        <f t="shared" si="52"/>
        <v>0.19972517035425535</v>
      </c>
      <c r="AJ90" s="198">
        <f t="shared" si="41"/>
        <v>1.08</v>
      </c>
      <c r="AK90" s="159" t="str">
        <f t="shared" si="53"/>
        <v>Cost-effective</v>
      </c>
      <c r="AL90" s="198">
        <f t="shared" si="42"/>
        <v>0.64</v>
      </c>
      <c r="AM90" s="162" t="str">
        <f t="shared" si="54"/>
        <v>Cost-effective</v>
      </c>
      <c r="AN90" s="198">
        <f t="shared" si="43"/>
        <v>0.64868436103329219</v>
      </c>
      <c r="AO90" s="159" t="str">
        <f t="shared" si="55"/>
        <v>Cost-effective</v>
      </c>
      <c r="AP90" s="198">
        <f t="shared" si="44"/>
        <v>0.16487209176159878</v>
      </c>
      <c r="AQ90" s="159" t="str">
        <f t="shared" si="56"/>
        <v>Not cost-effective</v>
      </c>
      <c r="AR90" s="198">
        <f t="shared" si="45"/>
        <v>0.88451095719374262</v>
      </c>
      <c r="AS90" s="159" t="str">
        <f t="shared" si="57"/>
        <v>Cost-effective</v>
      </c>
      <c r="AT90" s="198">
        <f t="shared" si="46"/>
        <v>0.366554090368578</v>
      </c>
      <c r="AU90" s="159" t="str">
        <f t="shared" si="58"/>
        <v>Cost-effective</v>
      </c>
      <c r="AV90" s="162" t="s">
        <v>210</v>
      </c>
      <c r="AW90" s="162" t="s">
        <v>1995</v>
      </c>
      <c r="AX90" s="168">
        <f t="shared" si="59"/>
        <v>0</v>
      </c>
      <c r="AY90" s="168">
        <f t="shared" si="60"/>
        <v>0</v>
      </c>
      <c r="AZ90" s="163">
        <f t="shared" si="61"/>
        <v>0</v>
      </c>
      <c r="BA90" s="163">
        <f t="shared" si="62"/>
        <v>1</v>
      </c>
      <c r="BB90" s="163">
        <f t="shared" si="63"/>
        <v>0</v>
      </c>
      <c r="BC90" s="163">
        <f t="shared" si="64"/>
        <v>0</v>
      </c>
      <c r="BD90" s="163">
        <f t="shared" si="65"/>
        <v>1</v>
      </c>
      <c r="BE90" s="163" t="s">
        <v>148</v>
      </c>
      <c r="BF90" s="162" t="s">
        <v>1426</v>
      </c>
    </row>
    <row r="91" spans="1:58">
      <c r="A91" s="159">
        <f t="shared" si="47"/>
        <v>26</v>
      </c>
      <c r="B91" s="159">
        <f t="shared" si="48"/>
        <v>3</v>
      </c>
      <c r="C91" s="190" t="str">
        <f t="shared" si="38"/>
        <v>2603</v>
      </c>
      <c r="D91" s="159" t="s">
        <v>56</v>
      </c>
      <c r="E91" s="192">
        <v>2015</v>
      </c>
      <c r="F91" s="162" t="s">
        <v>1947</v>
      </c>
      <c r="G91" s="162" t="s">
        <v>404</v>
      </c>
      <c r="H91" s="163" t="str">
        <f t="shared" si="39"/>
        <v>UM</v>
      </c>
      <c r="I91" s="163" t="s">
        <v>157</v>
      </c>
      <c r="J91" s="162" t="s">
        <v>186</v>
      </c>
      <c r="K91" s="162" t="s">
        <v>183</v>
      </c>
      <c r="L91" s="162" t="s">
        <v>371</v>
      </c>
      <c r="M91" s="162" t="s">
        <v>2014</v>
      </c>
      <c r="N91" s="163" t="s">
        <v>148</v>
      </c>
      <c r="O91" s="162" t="s">
        <v>1979</v>
      </c>
      <c r="P91" s="162" t="s">
        <v>154</v>
      </c>
      <c r="Q91" s="162" t="s">
        <v>155</v>
      </c>
      <c r="R91" s="163">
        <v>2012</v>
      </c>
      <c r="S91" s="194">
        <v>16.34</v>
      </c>
      <c r="T91" s="194">
        <f>IF(ISNUMBER(S91),S91/VLOOKUP($Q91,xRates!$A$1:$AA$267,studies!$R91-xRates!$B$1+2,FALSE),S91)</f>
        <v>16.34</v>
      </c>
      <c r="U91" s="163">
        <v>14.24</v>
      </c>
      <c r="V91" s="194">
        <v>14.24</v>
      </c>
      <c r="W91" s="163" t="s">
        <v>157</v>
      </c>
      <c r="X91" s="163" t="s">
        <v>157</v>
      </c>
      <c r="Y91" s="163" t="s">
        <v>148</v>
      </c>
      <c r="Z91" s="163" t="s">
        <v>148</v>
      </c>
      <c r="AA91" s="163" t="s">
        <v>148</v>
      </c>
      <c r="AB91" s="163" t="s">
        <v>247</v>
      </c>
      <c r="AC91" s="196">
        <v>519</v>
      </c>
      <c r="AD91" s="196">
        <v>519</v>
      </c>
      <c r="AE91" s="192" t="str">
        <f t="shared" si="49"/>
        <v>No</v>
      </c>
      <c r="AF91" s="196">
        <f t="shared" si="40"/>
        <v>6528.971775</v>
      </c>
      <c r="AG91" s="159" t="str">
        <f t="shared" si="50"/>
        <v>Cost-effective</v>
      </c>
      <c r="AH91" s="159" t="str">
        <f t="shared" si="51"/>
        <v>Cost-effective</v>
      </c>
      <c r="AI91" s="198">
        <f t="shared" si="52"/>
        <v>7.9491843108787222E-2</v>
      </c>
      <c r="AJ91" s="198">
        <f t="shared" si="41"/>
        <v>1.08</v>
      </c>
      <c r="AK91" s="159" t="str">
        <f t="shared" si="53"/>
        <v>Cost-effective</v>
      </c>
      <c r="AL91" s="198">
        <f t="shared" si="42"/>
        <v>0.64</v>
      </c>
      <c r="AM91" s="162" t="str">
        <f t="shared" si="54"/>
        <v>Cost-effective</v>
      </c>
      <c r="AN91" s="198">
        <f t="shared" si="43"/>
        <v>0.64868436103329219</v>
      </c>
      <c r="AO91" s="159" t="str">
        <f t="shared" si="55"/>
        <v>Cost-effective</v>
      </c>
      <c r="AP91" s="198">
        <f t="shared" si="44"/>
        <v>0.16487209176159878</v>
      </c>
      <c r="AQ91" s="159" t="str">
        <f t="shared" si="56"/>
        <v>Cost-effective</v>
      </c>
      <c r="AR91" s="198">
        <f t="shared" si="45"/>
        <v>0.88451095719374262</v>
      </c>
      <c r="AS91" s="159" t="str">
        <f t="shared" si="57"/>
        <v>Cost-effective</v>
      </c>
      <c r="AT91" s="198">
        <f t="shared" si="46"/>
        <v>0.366554090368578</v>
      </c>
      <c r="AU91" s="159" t="str">
        <f t="shared" si="58"/>
        <v>Cost-effective</v>
      </c>
      <c r="AV91" s="162" t="s">
        <v>210</v>
      </c>
      <c r="AW91" s="162" t="s">
        <v>1995</v>
      </c>
      <c r="AX91" s="168">
        <f t="shared" si="59"/>
        <v>0</v>
      </c>
      <c r="AY91" s="168">
        <f t="shared" si="60"/>
        <v>0</v>
      </c>
      <c r="AZ91" s="163">
        <f t="shared" si="61"/>
        <v>0</v>
      </c>
      <c r="BA91" s="163">
        <f t="shared" si="62"/>
        <v>0</v>
      </c>
      <c r="BB91" s="163">
        <f t="shared" si="63"/>
        <v>0</v>
      </c>
      <c r="BC91" s="163">
        <f t="shared" si="64"/>
        <v>0</v>
      </c>
      <c r="BD91" s="163">
        <f t="shared" si="65"/>
        <v>0</v>
      </c>
      <c r="BE91" s="163" t="s">
        <v>148</v>
      </c>
      <c r="BF91" s="162" t="s">
        <v>1426</v>
      </c>
    </row>
    <row r="92" spans="1:58">
      <c r="A92" s="159">
        <f t="shared" si="47"/>
        <v>27</v>
      </c>
      <c r="B92" s="159">
        <f t="shared" si="48"/>
        <v>1</v>
      </c>
      <c r="C92" s="190" t="str">
        <f t="shared" si="38"/>
        <v>2701</v>
      </c>
      <c r="D92" s="159" t="s">
        <v>389</v>
      </c>
      <c r="E92" s="192">
        <v>2017</v>
      </c>
      <c r="F92" s="162" t="s">
        <v>1948</v>
      </c>
      <c r="G92" s="162" t="s">
        <v>412</v>
      </c>
      <c r="H92" s="163" t="str">
        <f t="shared" si="39"/>
        <v>LM</v>
      </c>
      <c r="I92" s="163" t="s">
        <v>157</v>
      </c>
      <c r="J92" s="162" t="s">
        <v>348</v>
      </c>
      <c r="K92" s="162" t="s">
        <v>151</v>
      </c>
      <c r="L92" s="162" t="s">
        <v>651</v>
      </c>
      <c r="M92" s="162" t="s">
        <v>2015</v>
      </c>
      <c r="N92" s="163" t="s">
        <v>148</v>
      </c>
      <c r="O92" s="162" t="s">
        <v>1979</v>
      </c>
      <c r="P92" s="162" t="s">
        <v>154</v>
      </c>
      <c r="Q92" s="162" t="s">
        <v>155</v>
      </c>
      <c r="R92" s="163">
        <v>2013</v>
      </c>
      <c r="S92" s="194">
        <v>7.97</v>
      </c>
      <c r="T92" s="194">
        <f>IF(ISNUMBER(S92),S92/VLOOKUP($Q92,xRates!$A$1:$AA$267,studies!$R92-xRates!$B$1+2,FALSE),S92)</f>
        <v>7.97</v>
      </c>
      <c r="V92" s="194"/>
      <c r="W92" s="163" t="s">
        <v>157</v>
      </c>
      <c r="X92" s="163" t="s">
        <v>157</v>
      </c>
      <c r="Y92" s="163" t="s">
        <v>148</v>
      </c>
      <c r="Z92" s="163" t="s">
        <v>157</v>
      </c>
      <c r="AA92" s="163" t="s">
        <v>157</v>
      </c>
      <c r="AB92" s="163" t="s">
        <v>247</v>
      </c>
      <c r="AC92" s="196">
        <v>148</v>
      </c>
      <c r="AD92" s="196">
        <v>148</v>
      </c>
      <c r="AE92" s="192" t="str">
        <f t="shared" si="49"/>
        <v>No</v>
      </c>
      <c r="AF92" s="196">
        <f t="shared" si="40"/>
        <v>1779.47036531513</v>
      </c>
      <c r="AG92" s="159" t="str">
        <f t="shared" si="50"/>
        <v>Cost-effective</v>
      </c>
      <c r="AH92" s="159" t="str">
        <f t="shared" si="51"/>
        <v>Cost-effective</v>
      </c>
      <c r="AI92" s="198">
        <f t="shared" si="52"/>
        <v>8.3170814690016137E-2</v>
      </c>
      <c r="AJ92" s="198" t="str">
        <f t="shared" si="41"/>
        <v/>
      </c>
      <c r="AK92" s="159" t="str">
        <f t="shared" si="53"/>
        <v>Cost-effective</v>
      </c>
      <c r="AL92" s="198" t="str">
        <f t="shared" si="42"/>
        <v/>
      </c>
      <c r="AM92" s="162" t="str">
        <f t="shared" si="54"/>
        <v>Cost-effective</v>
      </c>
      <c r="AN92" s="198">
        <f t="shared" si="43"/>
        <v>0.34673238286310781</v>
      </c>
      <c r="AO92" s="159" t="str">
        <f t="shared" si="55"/>
        <v>Cost-effective</v>
      </c>
      <c r="AP92" s="198">
        <f t="shared" si="44"/>
        <v>2.2478598564869227E-2</v>
      </c>
      <c r="AQ92" s="159" t="str">
        <f t="shared" si="56"/>
        <v>Not cost-effective</v>
      </c>
      <c r="AR92" s="198" t="str">
        <f t="shared" si="45"/>
        <v/>
      </c>
      <c r="AS92" s="159" t="str">
        <f t="shared" si="57"/>
        <v>Cost-effective</v>
      </c>
      <c r="AT92" s="198" t="str">
        <f t="shared" si="46"/>
        <v/>
      </c>
      <c r="AU92" s="159" t="str">
        <f t="shared" si="58"/>
        <v>Cost-effective</v>
      </c>
      <c r="AV92" s="162" t="s">
        <v>210</v>
      </c>
      <c r="AW92" s="162" t="s">
        <v>1995</v>
      </c>
      <c r="AX92" s="168">
        <f t="shared" si="59"/>
        <v>0</v>
      </c>
      <c r="AY92" s="168">
        <f t="shared" si="60"/>
        <v>0</v>
      </c>
      <c r="AZ92" s="163">
        <f t="shared" si="61"/>
        <v>0</v>
      </c>
      <c r="BA92" s="163">
        <f t="shared" si="62"/>
        <v>1</v>
      </c>
      <c r="BB92" s="163">
        <f t="shared" si="63"/>
        <v>0</v>
      </c>
      <c r="BC92" s="163">
        <f t="shared" si="64"/>
        <v>0</v>
      </c>
      <c r="BD92" s="163">
        <f t="shared" si="65"/>
        <v>1</v>
      </c>
      <c r="BE92" s="163" t="s">
        <v>157</v>
      </c>
      <c r="BF92" s="162" t="s">
        <v>1403</v>
      </c>
    </row>
    <row r="93" spans="1:58">
      <c r="A93" s="159">
        <f t="shared" si="47"/>
        <v>27</v>
      </c>
      <c r="B93" s="159">
        <f t="shared" si="48"/>
        <v>2</v>
      </c>
      <c r="C93" s="190" t="str">
        <f t="shared" si="38"/>
        <v>2702</v>
      </c>
      <c r="D93" s="159" t="s">
        <v>389</v>
      </c>
      <c r="E93" s="192">
        <v>2017</v>
      </c>
      <c r="F93" s="162" t="s">
        <v>1948</v>
      </c>
      <c r="G93" s="162" t="s">
        <v>412</v>
      </c>
      <c r="H93" s="163" t="str">
        <f t="shared" si="39"/>
        <v>LM</v>
      </c>
      <c r="I93" s="163" t="s">
        <v>157</v>
      </c>
      <c r="J93" s="162" t="s">
        <v>348</v>
      </c>
      <c r="K93" s="162" t="s">
        <v>151</v>
      </c>
      <c r="L93" s="162" t="s">
        <v>651</v>
      </c>
      <c r="M93" s="162" t="s">
        <v>2015</v>
      </c>
      <c r="N93" s="163" t="s">
        <v>148</v>
      </c>
      <c r="O93" s="162" t="s">
        <v>1979</v>
      </c>
      <c r="P93" s="162" t="s">
        <v>154</v>
      </c>
      <c r="Q93" s="162" t="s">
        <v>155</v>
      </c>
      <c r="R93" s="163">
        <v>2013</v>
      </c>
      <c r="S93" s="194">
        <v>7.97</v>
      </c>
      <c r="T93" s="194">
        <f>IF(ISNUMBER(S93),S93/VLOOKUP($Q93,xRates!$A$1:$AA$267,studies!$R93-xRates!$B$1+2,FALSE),S93)</f>
        <v>7.97</v>
      </c>
      <c r="V93" s="194"/>
      <c r="W93" s="163" t="s">
        <v>157</v>
      </c>
      <c r="X93" s="163" t="s">
        <v>157</v>
      </c>
      <c r="Y93" s="163" t="s">
        <v>148</v>
      </c>
      <c r="Z93" s="163" t="s">
        <v>157</v>
      </c>
      <c r="AA93" s="163" t="s">
        <v>157</v>
      </c>
      <c r="AB93" s="163" t="s">
        <v>247</v>
      </c>
      <c r="AC93" s="196">
        <v>210</v>
      </c>
      <c r="AD93" s="196">
        <v>210</v>
      </c>
      <c r="AE93" s="192" t="str">
        <f t="shared" si="49"/>
        <v>No</v>
      </c>
      <c r="AF93" s="196">
        <f t="shared" si="40"/>
        <v>1779.47036531513</v>
      </c>
      <c r="AG93" s="159" t="str">
        <f t="shared" si="50"/>
        <v>Cost-effective</v>
      </c>
      <c r="AH93" s="159" t="str">
        <f t="shared" si="51"/>
        <v>Cost-effective</v>
      </c>
      <c r="AI93" s="198">
        <f t="shared" si="52"/>
        <v>0.11801264246556344</v>
      </c>
      <c r="AJ93" s="198" t="str">
        <f t="shared" si="41"/>
        <v/>
      </c>
      <c r="AK93" s="159" t="str">
        <f t="shared" si="53"/>
        <v>Cost-effective</v>
      </c>
      <c r="AL93" s="198" t="str">
        <f t="shared" si="42"/>
        <v/>
      </c>
      <c r="AM93" s="162" t="str">
        <f t="shared" si="54"/>
        <v>Cost-effective</v>
      </c>
      <c r="AN93" s="198">
        <f t="shared" si="43"/>
        <v>0.34673238286310781</v>
      </c>
      <c r="AO93" s="159" t="str">
        <f t="shared" si="55"/>
        <v>Cost-effective</v>
      </c>
      <c r="AP93" s="198">
        <f t="shared" si="44"/>
        <v>2.2478598564869227E-2</v>
      </c>
      <c r="AQ93" s="159" t="str">
        <f t="shared" si="56"/>
        <v>Not cost-effective</v>
      </c>
      <c r="AR93" s="198" t="str">
        <f t="shared" si="45"/>
        <v/>
      </c>
      <c r="AS93" s="159" t="str">
        <f t="shared" si="57"/>
        <v>Cost-effective</v>
      </c>
      <c r="AT93" s="198" t="str">
        <f t="shared" si="46"/>
        <v/>
      </c>
      <c r="AU93" s="159" t="str">
        <f t="shared" si="58"/>
        <v>Cost-effective</v>
      </c>
      <c r="AV93" s="162" t="s">
        <v>210</v>
      </c>
      <c r="AW93" s="162" t="s">
        <v>1995</v>
      </c>
      <c r="AX93" s="168">
        <f t="shared" si="59"/>
        <v>0</v>
      </c>
      <c r="AY93" s="168">
        <f t="shared" si="60"/>
        <v>0</v>
      </c>
      <c r="AZ93" s="163">
        <f t="shared" si="61"/>
        <v>0</v>
      </c>
      <c r="BA93" s="163">
        <f t="shared" si="62"/>
        <v>1</v>
      </c>
      <c r="BB93" s="163">
        <f t="shared" si="63"/>
        <v>0</v>
      </c>
      <c r="BC93" s="163">
        <f t="shared" si="64"/>
        <v>0</v>
      </c>
      <c r="BD93" s="163">
        <f t="shared" si="65"/>
        <v>1</v>
      </c>
      <c r="BE93" s="163" t="s">
        <v>157</v>
      </c>
      <c r="BF93" s="162" t="s">
        <v>1403</v>
      </c>
    </row>
    <row r="94" spans="1:58">
      <c r="A94" s="159">
        <f t="shared" si="47"/>
        <v>28</v>
      </c>
      <c r="B94" s="159">
        <f t="shared" si="48"/>
        <v>1</v>
      </c>
      <c r="C94" s="190" t="str">
        <f t="shared" si="38"/>
        <v>2801</v>
      </c>
      <c r="D94" s="159" t="s">
        <v>416</v>
      </c>
      <c r="E94" s="192">
        <v>2018</v>
      </c>
      <c r="F94" s="162" t="s">
        <v>1949</v>
      </c>
      <c r="G94" s="162" t="s">
        <v>330</v>
      </c>
      <c r="H94" s="163" t="str">
        <f t="shared" si="39"/>
        <v>UM</v>
      </c>
      <c r="I94" s="163" t="s">
        <v>157</v>
      </c>
      <c r="J94" s="162" t="s">
        <v>183</v>
      </c>
      <c r="K94" s="162" t="s">
        <v>151</v>
      </c>
      <c r="L94" s="162" t="s">
        <v>352</v>
      </c>
      <c r="M94" s="162" t="s">
        <v>2014</v>
      </c>
      <c r="N94" s="163" t="s">
        <v>148</v>
      </c>
      <c r="O94" s="162" t="s">
        <v>1979</v>
      </c>
      <c r="P94" s="162" t="s">
        <v>154</v>
      </c>
      <c r="Q94" s="162" t="s">
        <v>155</v>
      </c>
      <c r="R94" s="163">
        <v>2014</v>
      </c>
      <c r="S94" s="194"/>
      <c r="T94" s="194"/>
      <c r="V94" s="194"/>
      <c r="W94" s="163" t="s">
        <v>157</v>
      </c>
      <c r="X94" s="163" t="s">
        <v>157</v>
      </c>
      <c r="Y94" s="163" t="s">
        <v>148</v>
      </c>
      <c r="Z94" s="163" t="s">
        <v>148</v>
      </c>
      <c r="AA94" s="163" t="s">
        <v>157</v>
      </c>
      <c r="AB94" s="163" t="s">
        <v>247</v>
      </c>
      <c r="AC94" s="196">
        <v>27748</v>
      </c>
      <c r="AD94" s="196">
        <v>27748</v>
      </c>
      <c r="AE94" s="192" t="str">
        <f t="shared" si="49"/>
        <v>No</v>
      </c>
      <c r="AF94" s="196">
        <f t="shared" si="40"/>
        <v>12112.83496</v>
      </c>
      <c r="AG94" s="159" t="str">
        <f t="shared" si="50"/>
        <v>Not cost-effective</v>
      </c>
      <c r="AH94" s="159" t="str">
        <f t="shared" si="51"/>
        <v>Cost-effective</v>
      </c>
      <c r="AI94" s="198">
        <f t="shared" si="52"/>
        <v>2.2907932033773868</v>
      </c>
      <c r="AJ94" s="198">
        <f t="shared" si="41"/>
        <v>1.0900000000000001</v>
      </c>
      <c r="AK94" s="159" t="str">
        <f t="shared" si="53"/>
        <v>Not cost-effective</v>
      </c>
      <c r="AL94" s="198">
        <f t="shared" si="42"/>
        <v>0.71</v>
      </c>
      <c r="AM94" s="162" t="str">
        <f t="shared" si="54"/>
        <v>Not cost-effective</v>
      </c>
      <c r="AN94" s="198">
        <f t="shared" si="43"/>
        <v>0.61331405073457201</v>
      </c>
      <c r="AO94" s="159" t="str">
        <f t="shared" si="55"/>
        <v>Not cost-effective</v>
      </c>
      <c r="AP94" s="198">
        <f t="shared" si="44"/>
        <v>0.19454672897770822</v>
      </c>
      <c r="AQ94" s="159" t="str">
        <f t="shared" si="56"/>
        <v>Not cost-effective</v>
      </c>
      <c r="AR94" s="198">
        <f t="shared" si="45"/>
        <v>1.6739433928535268</v>
      </c>
      <c r="AS94" s="159" t="str">
        <f t="shared" si="57"/>
        <v>Not cost-effective</v>
      </c>
      <c r="AT94" s="198">
        <f t="shared" si="46"/>
        <v>0.69378626051328196</v>
      </c>
      <c r="AU94" s="159" t="str">
        <f t="shared" si="58"/>
        <v>Not cost-effective</v>
      </c>
      <c r="AV94" s="162" t="s">
        <v>173</v>
      </c>
      <c r="AW94" s="162" t="s">
        <v>1995</v>
      </c>
      <c r="AX94" s="168">
        <f t="shared" si="59"/>
        <v>1</v>
      </c>
      <c r="AY94" s="168">
        <f t="shared" si="60"/>
        <v>1</v>
      </c>
      <c r="AZ94" s="163">
        <f t="shared" si="61"/>
        <v>1</v>
      </c>
      <c r="BA94" s="163">
        <f t="shared" si="62"/>
        <v>1</v>
      </c>
      <c r="BB94" s="163">
        <f t="shared" si="63"/>
        <v>1</v>
      </c>
      <c r="BC94" s="163">
        <f t="shared" si="64"/>
        <v>1</v>
      </c>
      <c r="BD94" s="163">
        <f t="shared" si="65"/>
        <v>6</v>
      </c>
      <c r="BE94" s="163" t="s">
        <v>157</v>
      </c>
      <c r="BF94" s="162" t="s">
        <v>1403</v>
      </c>
    </row>
    <row r="95" spans="1:58">
      <c r="A95" s="159">
        <f t="shared" si="47"/>
        <v>29</v>
      </c>
      <c r="B95" s="159">
        <f t="shared" si="48"/>
        <v>1</v>
      </c>
      <c r="C95" s="190" t="str">
        <f t="shared" si="38"/>
        <v>2901</v>
      </c>
      <c r="D95" s="159" t="s">
        <v>419</v>
      </c>
      <c r="E95" s="192">
        <v>2018</v>
      </c>
      <c r="F95" s="162" t="s">
        <v>1950</v>
      </c>
      <c r="G95" s="162" t="s">
        <v>421</v>
      </c>
      <c r="H95" s="163" t="str">
        <f t="shared" si="39"/>
        <v>UM</v>
      </c>
      <c r="I95" s="163" t="s">
        <v>157</v>
      </c>
      <c r="J95" s="162" t="s">
        <v>183</v>
      </c>
      <c r="K95" s="162" t="s">
        <v>151</v>
      </c>
      <c r="L95" s="162" t="s">
        <v>352</v>
      </c>
      <c r="M95" s="162" t="s">
        <v>2013</v>
      </c>
      <c r="N95" s="163" t="s">
        <v>148</v>
      </c>
      <c r="O95" s="162" t="s">
        <v>1979</v>
      </c>
      <c r="P95" s="162" t="s">
        <v>422</v>
      </c>
      <c r="Q95" s="162" t="s">
        <v>423</v>
      </c>
      <c r="R95" s="163">
        <v>2008</v>
      </c>
      <c r="S95" s="194">
        <v>20.04</v>
      </c>
      <c r="T95" s="194">
        <f>(S95*1057.875)/1967.711</f>
        <v>10.773845854396301</v>
      </c>
      <c r="V95" s="194"/>
      <c r="W95" s="163" t="s">
        <v>157</v>
      </c>
      <c r="X95" s="163" t="s">
        <v>157</v>
      </c>
      <c r="Y95" s="163" t="s">
        <v>148</v>
      </c>
      <c r="Z95" s="163" t="s">
        <v>148</v>
      </c>
      <c r="AA95" s="163" t="s">
        <v>148</v>
      </c>
      <c r="AB95" s="163" t="s">
        <v>247</v>
      </c>
      <c r="AC95" s="196">
        <v>1417</v>
      </c>
      <c r="AD95" s="196">
        <f>(AC95*1057.875)/1967.711</f>
        <v>761.80337203989814</v>
      </c>
      <c r="AE95" s="192" t="str">
        <f t="shared" si="49"/>
        <v>No</v>
      </c>
      <c r="AF95" s="196">
        <f t="shared" si="40"/>
        <v>5472.5365300000003</v>
      </c>
      <c r="AG95" s="159" t="str">
        <f t="shared" si="50"/>
        <v>Cost-effective</v>
      </c>
      <c r="AH95" s="159" t="str">
        <f t="shared" si="51"/>
        <v>Cost-effective</v>
      </c>
      <c r="AI95" s="198">
        <f t="shared" si="52"/>
        <v>0.13920480345151723</v>
      </c>
      <c r="AJ95" s="198">
        <f t="shared" si="41"/>
        <v>1.89</v>
      </c>
      <c r="AK95" s="159" t="str">
        <f t="shared" si="53"/>
        <v>Cost-effective</v>
      </c>
      <c r="AL95" s="198">
        <f t="shared" si="42"/>
        <v>1.17</v>
      </c>
      <c r="AM95" s="162" t="str">
        <f t="shared" si="54"/>
        <v>Cost-effective</v>
      </c>
      <c r="AN95" s="198">
        <f t="shared" si="43"/>
        <v>0.67142448878179284</v>
      </c>
      <c r="AO95" s="159" t="str">
        <f t="shared" si="55"/>
        <v>Cost-effective</v>
      </c>
      <c r="AP95" s="198">
        <f t="shared" si="44"/>
        <v>0.16670017209696561</v>
      </c>
      <c r="AQ95" s="159" t="str">
        <f t="shared" si="56"/>
        <v>Cost-effective</v>
      </c>
      <c r="AR95" s="198">
        <f t="shared" si="45"/>
        <v>1.3237396338136047</v>
      </c>
      <c r="AS95" s="159" t="str">
        <f t="shared" si="57"/>
        <v>Cost-effective</v>
      </c>
      <c r="AT95" s="198">
        <f t="shared" si="46"/>
        <v>0.54863988350299309</v>
      </c>
      <c r="AU95" s="159" t="str">
        <f t="shared" si="58"/>
        <v>Cost-effective</v>
      </c>
      <c r="AV95" s="162" t="s">
        <v>210</v>
      </c>
      <c r="AW95" s="162" t="s">
        <v>1995</v>
      </c>
      <c r="AX95" s="168">
        <f t="shared" si="59"/>
        <v>0</v>
      </c>
      <c r="AY95" s="168">
        <f t="shared" si="60"/>
        <v>0</v>
      </c>
      <c r="AZ95" s="163">
        <f t="shared" si="61"/>
        <v>0</v>
      </c>
      <c r="BA95" s="163">
        <f t="shared" si="62"/>
        <v>0</v>
      </c>
      <c r="BB95" s="163">
        <f t="shared" si="63"/>
        <v>0</v>
      </c>
      <c r="BC95" s="163">
        <f t="shared" si="64"/>
        <v>0</v>
      </c>
      <c r="BD95" s="163">
        <f t="shared" si="65"/>
        <v>0</v>
      </c>
      <c r="BE95" s="163" t="s">
        <v>157</v>
      </c>
      <c r="BF95" s="162" t="s">
        <v>1403</v>
      </c>
    </row>
    <row r="96" spans="1:58">
      <c r="A96" s="159">
        <f t="shared" si="47"/>
        <v>29</v>
      </c>
      <c r="B96" s="159">
        <f t="shared" si="48"/>
        <v>2</v>
      </c>
      <c r="C96" s="190" t="str">
        <f t="shared" si="38"/>
        <v>2902</v>
      </c>
      <c r="D96" s="159" t="s">
        <v>419</v>
      </c>
      <c r="E96" s="192">
        <v>2018</v>
      </c>
      <c r="F96" s="162" t="s">
        <v>1950</v>
      </c>
      <c r="G96" s="162" t="s">
        <v>421</v>
      </c>
      <c r="H96" s="163" t="str">
        <f t="shared" si="39"/>
        <v>UM</v>
      </c>
      <c r="I96" s="163" t="s">
        <v>157</v>
      </c>
      <c r="J96" s="162" t="s">
        <v>183</v>
      </c>
      <c r="K96" s="162" t="s">
        <v>151</v>
      </c>
      <c r="L96" s="162" t="s">
        <v>352</v>
      </c>
      <c r="M96" s="162" t="s">
        <v>2013</v>
      </c>
      <c r="N96" s="163" t="s">
        <v>148</v>
      </c>
      <c r="O96" s="162" t="s">
        <v>153</v>
      </c>
      <c r="P96" s="162" t="s">
        <v>422</v>
      </c>
      <c r="Q96" s="162" t="s">
        <v>423</v>
      </c>
      <c r="R96" s="163">
        <v>2008</v>
      </c>
      <c r="S96" s="194">
        <v>20.04</v>
      </c>
      <c r="T96" s="194">
        <f>(S96*1057.875)/1967.711</f>
        <v>10.773845854396301</v>
      </c>
      <c r="V96" s="194"/>
      <c r="W96" s="163" t="s">
        <v>157</v>
      </c>
      <c r="X96" s="163" t="s">
        <v>157</v>
      </c>
      <c r="Y96" s="163" t="s">
        <v>148</v>
      </c>
      <c r="Z96" s="163" t="s">
        <v>148</v>
      </c>
      <c r="AA96" s="163" t="s">
        <v>148</v>
      </c>
      <c r="AB96" s="163" t="s">
        <v>247</v>
      </c>
      <c r="AC96" s="196">
        <v>1301</v>
      </c>
      <c r="AD96" s="196">
        <f>(AC96*1057.875)/1967.711</f>
        <v>699.4397932419954</v>
      </c>
      <c r="AE96" s="192" t="str">
        <f t="shared" si="49"/>
        <v>No</v>
      </c>
      <c r="AF96" s="196">
        <f t="shared" si="40"/>
        <v>5472.5365300000003</v>
      </c>
      <c r="AG96" s="159" t="str">
        <f t="shared" si="50"/>
        <v>Cost-effective</v>
      </c>
      <c r="AH96" s="159" t="str">
        <f t="shared" si="51"/>
        <v>Cost-effective</v>
      </c>
      <c r="AI96" s="198">
        <f t="shared" si="52"/>
        <v>0.12780906795372188</v>
      </c>
      <c r="AJ96" s="198">
        <f t="shared" si="41"/>
        <v>1.89</v>
      </c>
      <c r="AK96" s="159" t="str">
        <f t="shared" si="53"/>
        <v>Cost-effective</v>
      </c>
      <c r="AL96" s="198">
        <f t="shared" si="42"/>
        <v>1.17</v>
      </c>
      <c r="AM96" s="162" t="str">
        <f t="shared" si="54"/>
        <v>Cost-effective</v>
      </c>
      <c r="AN96" s="198">
        <f t="shared" si="43"/>
        <v>0.67142448878179284</v>
      </c>
      <c r="AO96" s="159" t="str">
        <f t="shared" si="55"/>
        <v>Cost-effective</v>
      </c>
      <c r="AP96" s="198">
        <f t="shared" si="44"/>
        <v>0.16670017209696561</v>
      </c>
      <c r="AQ96" s="159" t="str">
        <f t="shared" si="56"/>
        <v>Cost-effective</v>
      </c>
      <c r="AR96" s="198">
        <f t="shared" si="45"/>
        <v>1.3237396338136047</v>
      </c>
      <c r="AS96" s="159" t="str">
        <f t="shared" si="57"/>
        <v>Cost-effective</v>
      </c>
      <c r="AT96" s="198">
        <f t="shared" si="46"/>
        <v>0.54863988350299309</v>
      </c>
      <c r="AU96" s="159" t="str">
        <f t="shared" si="58"/>
        <v>Cost-effective</v>
      </c>
      <c r="AV96" s="162" t="s">
        <v>210</v>
      </c>
      <c r="AW96" s="162" t="s">
        <v>1995</v>
      </c>
      <c r="AX96" s="168">
        <f t="shared" si="59"/>
        <v>0</v>
      </c>
      <c r="AY96" s="168">
        <f t="shared" si="60"/>
        <v>0</v>
      </c>
      <c r="AZ96" s="163">
        <f t="shared" si="61"/>
        <v>0</v>
      </c>
      <c r="BA96" s="163">
        <f t="shared" si="62"/>
        <v>0</v>
      </c>
      <c r="BB96" s="163">
        <f t="shared" si="63"/>
        <v>0</v>
      </c>
      <c r="BC96" s="163">
        <f t="shared" si="64"/>
        <v>0</v>
      </c>
      <c r="BD96" s="163">
        <f t="shared" si="65"/>
        <v>0</v>
      </c>
      <c r="BE96" s="163" t="s">
        <v>157</v>
      </c>
      <c r="BF96" s="162" t="s">
        <v>1403</v>
      </c>
    </row>
    <row r="97" spans="1:58">
      <c r="A97" s="159">
        <f t="shared" si="47"/>
        <v>30</v>
      </c>
      <c r="B97" s="159">
        <f t="shared" si="48"/>
        <v>1</v>
      </c>
      <c r="C97" s="190" t="str">
        <f t="shared" si="38"/>
        <v>3001</v>
      </c>
      <c r="D97" s="159" t="s">
        <v>426</v>
      </c>
      <c r="E97" s="192">
        <v>2019</v>
      </c>
      <c r="F97" s="162" t="s">
        <v>1951</v>
      </c>
      <c r="G97" s="162" t="s">
        <v>428</v>
      </c>
      <c r="H97" s="163" t="str">
        <f t="shared" si="39"/>
        <v>L</v>
      </c>
      <c r="I97" s="163" t="s">
        <v>157</v>
      </c>
      <c r="J97" s="162" t="s">
        <v>183</v>
      </c>
      <c r="K97" s="162" t="s">
        <v>151</v>
      </c>
      <c r="L97" s="162" t="s">
        <v>352</v>
      </c>
      <c r="M97" s="162" t="s">
        <v>2013</v>
      </c>
      <c r="N97" s="163" t="s">
        <v>148</v>
      </c>
      <c r="O97" s="162" t="s">
        <v>153</v>
      </c>
      <c r="P97" s="162" t="s">
        <v>154</v>
      </c>
      <c r="Q97" s="162" t="s">
        <v>155</v>
      </c>
      <c r="R97" s="163">
        <v>2013</v>
      </c>
      <c r="S97" s="194">
        <v>6.5</v>
      </c>
      <c r="T97" s="194">
        <f>IF(ISNUMBER(S97),S97/VLOOKUP($Q97,xRates!$A$1:$AA$267,studies!$R97-xRates!$B$1+2,FALSE),S97)</f>
        <v>6.5</v>
      </c>
      <c r="V97" s="194"/>
      <c r="W97" s="163" t="s">
        <v>157</v>
      </c>
      <c r="X97" s="163" t="s">
        <v>157</v>
      </c>
      <c r="Y97" s="163" t="s">
        <v>148</v>
      </c>
      <c r="Z97" s="163" t="s">
        <v>148</v>
      </c>
      <c r="AA97" s="163" t="s">
        <v>148</v>
      </c>
      <c r="AB97" s="163" t="s">
        <v>247</v>
      </c>
      <c r="AC97" s="196">
        <v>268</v>
      </c>
      <c r="AD97" s="196">
        <f>AC97</f>
        <v>268</v>
      </c>
      <c r="AE97" s="192" t="str">
        <f t="shared" si="49"/>
        <v>No</v>
      </c>
      <c r="AF97" s="196">
        <f t="shared" si="40"/>
        <v>499.531530164228</v>
      </c>
      <c r="AG97" s="159" t="str">
        <f t="shared" si="50"/>
        <v>Cost-effective</v>
      </c>
      <c r="AH97" s="159" t="str">
        <f t="shared" si="51"/>
        <v>Cost-effective</v>
      </c>
      <c r="AI97" s="198">
        <f t="shared" si="52"/>
        <v>0.53650267063600821</v>
      </c>
      <c r="AJ97" s="198">
        <f t="shared" si="41"/>
        <v>0.36</v>
      </c>
      <c r="AK97" s="159" t="str">
        <f t="shared" si="53"/>
        <v>Not cost-effective</v>
      </c>
      <c r="AL97" s="198">
        <f t="shared" si="42"/>
        <v>0.27</v>
      </c>
      <c r="AM97" s="162" t="str">
        <f t="shared" si="54"/>
        <v>Not cost-effective</v>
      </c>
      <c r="AN97" s="198">
        <f t="shared" si="43"/>
        <v>0.51047828735888834</v>
      </c>
      <c r="AO97" s="159" t="str">
        <f t="shared" si="55"/>
        <v>Not cost-effective</v>
      </c>
      <c r="AP97" s="198">
        <f t="shared" si="44"/>
        <v>2.0018756367015229E-2</v>
      </c>
      <c r="AQ97" s="159" t="str">
        <f t="shared" si="56"/>
        <v>Not cost-effective</v>
      </c>
      <c r="AR97" s="198">
        <f t="shared" si="45"/>
        <v>0.22669884000909932</v>
      </c>
      <c r="AS97" s="159" t="str">
        <f t="shared" si="57"/>
        <v>Not cost-effective</v>
      </c>
      <c r="AT97" s="198">
        <f t="shared" si="46"/>
        <v>4.5573478146159141E-2</v>
      </c>
      <c r="AU97" s="159" t="str">
        <f t="shared" si="58"/>
        <v>Not cost-effective</v>
      </c>
      <c r="AV97" s="162" t="s">
        <v>173</v>
      </c>
      <c r="AW97" s="162" t="s">
        <v>1995</v>
      </c>
      <c r="AX97" s="168">
        <f t="shared" si="59"/>
        <v>1</v>
      </c>
      <c r="AY97" s="168">
        <f t="shared" si="60"/>
        <v>1</v>
      </c>
      <c r="AZ97" s="163">
        <f t="shared" si="61"/>
        <v>1</v>
      </c>
      <c r="BA97" s="163">
        <f t="shared" si="62"/>
        <v>1</v>
      </c>
      <c r="BB97" s="163">
        <f t="shared" si="63"/>
        <v>1</v>
      </c>
      <c r="BC97" s="163">
        <f t="shared" si="64"/>
        <v>1</v>
      </c>
      <c r="BD97" s="163">
        <f t="shared" si="65"/>
        <v>6</v>
      </c>
      <c r="BE97" s="163" t="s">
        <v>157</v>
      </c>
      <c r="BF97" s="162" t="s">
        <v>1426</v>
      </c>
    </row>
    <row r="98" spans="1:58">
      <c r="A98" s="159">
        <f t="shared" si="47"/>
        <v>30</v>
      </c>
      <c r="B98" s="159">
        <f t="shared" si="48"/>
        <v>2</v>
      </c>
      <c r="C98" s="190" t="str">
        <f t="shared" si="38"/>
        <v>3002</v>
      </c>
      <c r="D98" s="159" t="s">
        <v>426</v>
      </c>
      <c r="E98" s="192">
        <v>2019</v>
      </c>
      <c r="F98" s="162" t="s">
        <v>1951</v>
      </c>
      <c r="G98" s="162" t="s">
        <v>428</v>
      </c>
      <c r="H98" s="163" t="str">
        <f t="shared" ref="H98:H129" si="67">VLOOKUP(G98,income,R98-1985,FALSE)</f>
        <v>L</v>
      </c>
      <c r="I98" s="163" t="s">
        <v>157</v>
      </c>
      <c r="J98" s="162" t="s">
        <v>183</v>
      </c>
      <c r="K98" s="162" t="s">
        <v>151</v>
      </c>
      <c r="L98" s="162" t="s">
        <v>352</v>
      </c>
      <c r="M98" s="162" t="s">
        <v>2013</v>
      </c>
      <c r="N98" s="163" t="s">
        <v>148</v>
      </c>
      <c r="O98" s="162" t="s">
        <v>153</v>
      </c>
      <c r="P98" s="162" t="s">
        <v>154</v>
      </c>
      <c r="Q98" s="162" t="s">
        <v>155</v>
      </c>
      <c r="R98" s="163">
        <v>2013</v>
      </c>
      <c r="S98" s="194">
        <v>6.5</v>
      </c>
      <c r="T98" s="194">
        <f>IF(ISNUMBER(S98),S98/VLOOKUP($Q98,xRates!$A$1:$AA$267,studies!$R98-xRates!$B$1+2,FALSE),S98)</f>
        <v>6.5</v>
      </c>
      <c r="V98" s="194"/>
      <c r="W98" s="163" t="s">
        <v>157</v>
      </c>
      <c r="X98" s="163" t="s">
        <v>157</v>
      </c>
      <c r="Y98" s="163" t="s">
        <v>148</v>
      </c>
      <c r="Z98" s="163" t="s">
        <v>148</v>
      </c>
      <c r="AA98" s="163" t="s">
        <v>148</v>
      </c>
      <c r="AB98" s="163" t="s">
        <v>247</v>
      </c>
      <c r="AC98" s="196">
        <v>292.7</v>
      </c>
      <c r="AD98" s="196">
        <v>281.39999999999998</v>
      </c>
      <c r="AE98" s="192" t="str">
        <f t="shared" si="49"/>
        <v>No</v>
      </c>
      <c r="AF98" s="196">
        <f t="shared" ref="AF98:AF129" si="68">VLOOKUP(G98,gdppc,R98-1958,FALSE)</f>
        <v>499.531530164228</v>
      </c>
      <c r="AG98" s="159" t="str">
        <f t="shared" si="50"/>
        <v>Cost-effective</v>
      </c>
      <c r="AH98" s="159" t="str">
        <f t="shared" si="51"/>
        <v>Cost-effective</v>
      </c>
      <c r="AI98" s="198">
        <f t="shared" si="52"/>
        <v>0.56332780416780859</v>
      </c>
      <c r="AJ98" s="198">
        <f t="shared" ref="AJ98:AJ129" si="69">IFERROR(VLOOKUP(G98,ochalek,11,FALSE),"")</f>
        <v>0.36</v>
      </c>
      <c r="AK98" s="159" t="str">
        <f t="shared" si="53"/>
        <v>Not cost-effective</v>
      </c>
      <c r="AL98" s="198">
        <f t="shared" ref="AL98:AL129" si="70">IFERROR(VLOOKUP(G98,ochalek,10,FALSE),"")</f>
        <v>0.27</v>
      </c>
      <c r="AM98" s="162" t="str">
        <f t="shared" si="54"/>
        <v>Not cost-effective</v>
      </c>
      <c r="AN98" s="198">
        <f t="shared" ref="AN98:AN129" si="71">IFERROR(VLOOKUP(G98,woods,6,FALSE),"")</f>
        <v>0.51047828735888834</v>
      </c>
      <c r="AO98" s="159" t="str">
        <f t="shared" si="55"/>
        <v>Not cost-effective</v>
      </c>
      <c r="AP98" s="198">
        <f t="shared" ref="AP98:AP129" si="72">IFERROR(VLOOKUP(G98,woods,5,FALSE),"")</f>
        <v>2.0018756367015229E-2</v>
      </c>
      <c r="AQ98" s="159" t="str">
        <f t="shared" si="56"/>
        <v>Not cost-effective</v>
      </c>
      <c r="AR98" s="198">
        <f t="shared" ref="AR98:AR129" si="73">IFERROR(VLOOKUP(G98,riviere,8,FALSE),"")</f>
        <v>0.22669884000909932</v>
      </c>
      <c r="AS98" s="159" t="str">
        <f t="shared" si="57"/>
        <v>Not cost-effective</v>
      </c>
      <c r="AT98" s="198">
        <f t="shared" ref="AT98:AT129" si="74">IFERROR(VLOOKUP(G98,riviere,7,FALSE),"")</f>
        <v>4.5573478146159141E-2</v>
      </c>
      <c r="AU98" s="159" t="str">
        <f t="shared" si="58"/>
        <v>Not cost-effective</v>
      </c>
      <c r="AV98" s="162" t="s">
        <v>173</v>
      </c>
      <c r="AW98" s="162" t="s">
        <v>1995</v>
      </c>
      <c r="AX98" s="168">
        <f t="shared" si="59"/>
        <v>1</v>
      </c>
      <c r="AY98" s="168">
        <f t="shared" si="60"/>
        <v>1</v>
      </c>
      <c r="AZ98" s="163">
        <f t="shared" si="61"/>
        <v>1</v>
      </c>
      <c r="BA98" s="163">
        <f t="shared" si="62"/>
        <v>1</v>
      </c>
      <c r="BB98" s="163">
        <f t="shared" si="63"/>
        <v>1</v>
      </c>
      <c r="BC98" s="163">
        <f t="shared" si="64"/>
        <v>1</v>
      </c>
      <c r="BD98" s="163">
        <f t="shared" si="65"/>
        <v>6</v>
      </c>
      <c r="BE98" s="163" t="s">
        <v>157</v>
      </c>
      <c r="BF98" s="162" t="s">
        <v>1426</v>
      </c>
    </row>
    <row r="99" spans="1:58">
      <c r="A99" s="159">
        <f t="shared" ref="A99:A130" si="75">IF(F99=F98,A98,A98+1)</f>
        <v>31</v>
      </c>
      <c r="B99" s="159">
        <f t="shared" ref="B99:B130" si="76">IF(F99=F98,B98+1,1)</f>
        <v>1</v>
      </c>
      <c r="C99" s="190" t="str">
        <f t="shared" si="38"/>
        <v>3101</v>
      </c>
      <c r="D99" s="159" t="s">
        <v>435</v>
      </c>
      <c r="E99" s="192">
        <v>2019</v>
      </c>
      <c r="F99" s="162" t="s">
        <v>1952</v>
      </c>
      <c r="G99" s="162" t="s">
        <v>382</v>
      </c>
      <c r="H99" s="163" t="str">
        <f t="shared" si="67"/>
        <v>LM</v>
      </c>
      <c r="I99" s="163" t="s">
        <v>157</v>
      </c>
      <c r="J99" s="162" t="s">
        <v>183</v>
      </c>
      <c r="K99" s="162" t="s">
        <v>151</v>
      </c>
      <c r="L99" s="162" t="s">
        <v>352</v>
      </c>
      <c r="M99" s="162" t="s">
        <v>2014</v>
      </c>
      <c r="N99" s="163" t="s">
        <v>148</v>
      </c>
      <c r="O99" s="162" t="s">
        <v>153</v>
      </c>
      <c r="P99" s="162" t="s">
        <v>154</v>
      </c>
      <c r="Q99" s="162" t="s">
        <v>155</v>
      </c>
      <c r="R99" s="163">
        <v>2016</v>
      </c>
      <c r="S99" s="194">
        <v>3.05</v>
      </c>
      <c r="T99" s="194">
        <f>IF(ISNUMBER(S99),S99/VLOOKUP($Q99,xRates!$A$1:$AA$267,studies!$R99-xRates!$B$1+2,FALSE),S99)</f>
        <v>3.05</v>
      </c>
      <c r="V99" s="194"/>
      <c r="W99" s="163" t="s">
        <v>157</v>
      </c>
      <c r="X99" s="163" t="s">
        <v>157</v>
      </c>
      <c r="Y99" s="163" t="s">
        <v>148</v>
      </c>
      <c r="Z99" s="163" t="s">
        <v>148</v>
      </c>
      <c r="AA99" s="163" t="s">
        <v>157</v>
      </c>
      <c r="AB99" s="163" t="s">
        <v>247</v>
      </c>
      <c r="AC99" s="196">
        <v>153</v>
      </c>
      <c r="AD99" s="196">
        <v>153</v>
      </c>
      <c r="AE99" s="192" t="str">
        <f t="shared" si="49"/>
        <v>No</v>
      </c>
      <c r="AF99" s="196">
        <f t="shared" si="68"/>
        <v>1525.2351920000001</v>
      </c>
      <c r="AG99" s="159" t="str">
        <f t="shared" si="50"/>
        <v>Cost-effective</v>
      </c>
      <c r="AH99" s="159" t="str">
        <f t="shared" si="51"/>
        <v>Cost-effective</v>
      </c>
      <c r="AI99" s="198">
        <f t="shared" si="52"/>
        <v>0.10031239824684034</v>
      </c>
      <c r="AJ99" s="198">
        <f t="shared" si="69"/>
        <v>0.47</v>
      </c>
      <c r="AK99" s="159" t="str">
        <f t="shared" si="53"/>
        <v>Cost-effective</v>
      </c>
      <c r="AL99" s="198">
        <f t="shared" si="70"/>
        <v>0.36</v>
      </c>
      <c r="AM99" s="162" t="str">
        <f t="shared" si="54"/>
        <v>Cost-effective</v>
      </c>
      <c r="AN99" s="198">
        <f t="shared" si="71"/>
        <v>0.38307648302682684</v>
      </c>
      <c r="AO99" s="159" t="str">
        <f t="shared" si="55"/>
        <v>Cost-effective</v>
      </c>
      <c r="AP99" s="198">
        <f t="shared" si="72"/>
        <v>2.3619359261769671E-2</v>
      </c>
      <c r="AQ99" s="159" t="str">
        <f t="shared" si="56"/>
        <v>Not cost-effective</v>
      </c>
      <c r="AR99" s="198">
        <f t="shared" si="73"/>
        <v>0.405720265287076</v>
      </c>
      <c r="AS99" s="159" t="str">
        <f t="shared" si="57"/>
        <v>Cost-effective</v>
      </c>
      <c r="AT99" s="198">
        <f t="shared" si="74"/>
        <v>0.16312464274428828</v>
      </c>
      <c r="AU99" s="159" t="str">
        <f t="shared" si="58"/>
        <v>Cost-effective</v>
      </c>
      <c r="AV99" s="162" t="s">
        <v>210</v>
      </c>
      <c r="AW99" s="162" t="s">
        <v>1995</v>
      </c>
      <c r="AX99" s="168">
        <f t="shared" si="59"/>
        <v>0</v>
      </c>
      <c r="AY99" s="168">
        <f t="shared" si="60"/>
        <v>0</v>
      </c>
      <c r="AZ99" s="163">
        <f t="shared" si="61"/>
        <v>0</v>
      </c>
      <c r="BA99" s="163">
        <f t="shared" si="62"/>
        <v>1</v>
      </c>
      <c r="BB99" s="163">
        <f t="shared" si="63"/>
        <v>0</v>
      </c>
      <c r="BC99" s="163">
        <f t="shared" si="64"/>
        <v>0</v>
      </c>
      <c r="BD99" s="163">
        <f t="shared" si="65"/>
        <v>1</v>
      </c>
      <c r="BE99" s="163" t="s">
        <v>148</v>
      </c>
      <c r="BF99" s="162" t="s">
        <v>1428</v>
      </c>
    </row>
    <row r="100" spans="1:58">
      <c r="A100" s="159">
        <f t="shared" si="75"/>
        <v>32</v>
      </c>
      <c r="B100" s="159">
        <f t="shared" si="76"/>
        <v>1</v>
      </c>
      <c r="C100" s="190" t="str">
        <f t="shared" si="38"/>
        <v>3201</v>
      </c>
      <c r="D100" s="159" t="s">
        <v>441</v>
      </c>
      <c r="E100" s="192">
        <v>2019</v>
      </c>
      <c r="F100" s="162" t="s">
        <v>1953</v>
      </c>
      <c r="G100" s="162" t="s">
        <v>443</v>
      </c>
      <c r="H100" s="163" t="str">
        <f t="shared" si="67"/>
        <v>UM</v>
      </c>
      <c r="I100" s="163" t="s">
        <v>157</v>
      </c>
      <c r="J100" s="162" t="s">
        <v>186</v>
      </c>
      <c r="K100" s="162" t="s">
        <v>151</v>
      </c>
      <c r="L100" s="162" t="s">
        <v>353</v>
      </c>
      <c r="M100" s="162" t="s">
        <v>2013</v>
      </c>
      <c r="N100" s="163" t="s">
        <v>148</v>
      </c>
      <c r="O100" s="162" t="s">
        <v>1979</v>
      </c>
      <c r="P100" s="162" t="s">
        <v>154</v>
      </c>
      <c r="Q100" s="162" t="s">
        <v>155</v>
      </c>
      <c r="R100" s="163">
        <v>2014</v>
      </c>
      <c r="S100" s="194">
        <v>20</v>
      </c>
      <c r="T100" s="194">
        <f>IF(ISNUMBER(S100),S100/VLOOKUP($Q100,xRates!$A$1:$AA$267,studies!$R100-xRates!$B$1+2,FALSE),S100)</f>
        <v>20</v>
      </c>
      <c r="V100" s="194"/>
      <c r="W100" s="163" t="s">
        <v>157</v>
      </c>
      <c r="X100" s="163" t="s">
        <v>157</v>
      </c>
      <c r="Y100" s="163" t="s">
        <v>148</v>
      </c>
      <c r="Z100" s="163" t="s">
        <v>148</v>
      </c>
      <c r="AA100" s="163" t="s">
        <v>148</v>
      </c>
      <c r="AB100" s="163" t="s">
        <v>247</v>
      </c>
      <c r="AC100" s="196">
        <v>1890</v>
      </c>
      <c r="AD100" s="196">
        <v>1890</v>
      </c>
      <c r="AE100" s="192" t="str">
        <f t="shared" si="49"/>
        <v>No</v>
      </c>
      <c r="AF100" s="196">
        <f t="shared" si="68"/>
        <v>5585.5256040000004</v>
      </c>
      <c r="AG100" s="159" t="str">
        <f t="shared" si="50"/>
        <v>Cost-effective</v>
      </c>
      <c r="AH100" s="159" t="str">
        <f t="shared" si="51"/>
        <v>Cost-effective</v>
      </c>
      <c r="AI100" s="198">
        <f t="shared" si="52"/>
        <v>0.33837460142452869</v>
      </c>
      <c r="AJ100" s="198" t="str">
        <f t="shared" si="69"/>
        <v/>
      </c>
      <c r="AK100" s="159" t="str">
        <f t="shared" si="53"/>
        <v>Cost-effective</v>
      </c>
      <c r="AL100" s="198" t="str">
        <f t="shared" si="70"/>
        <v/>
      </c>
      <c r="AM100" s="162" t="str">
        <f t="shared" si="54"/>
        <v>Cost-effective</v>
      </c>
      <c r="AN100" s="198">
        <f t="shared" si="71"/>
        <v>0.52689097161017251</v>
      </c>
      <c r="AO100" s="159" t="str">
        <f t="shared" si="55"/>
        <v>Cost-effective</v>
      </c>
      <c r="AP100" s="198">
        <f t="shared" si="72"/>
        <v>0.17513184612965055</v>
      </c>
      <c r="AQ100" s="159" t="str">
        <f t="shared" si="56"/>
        <v>Not cost-effective</v>
      </c>
      <c r="AR100" s="198">
        <f t="shared" si="73"/>
        <v>2.6568225612650944</v>
      </c>
      <c r="AS100" s="159" t="str">
        <f t="shared" si="57"/>
        <v>Cost-effective</v>
      </c>
      <c r="AT100" s="198">
        <f t="shared" si="74"/>
        <v>1.1009358988009679</v>
      </c>
      <c r="AU100" s="159" t="str">
        <f t="shared" si="58"/>
        <v>Cost-effective</v>
      </c>
      <c r="AV100" s="162" t="s">
        <v>210</v>
      </c>
      <c r="AW100" s="162" t="s">
        <v>1995</v>
      </c>
      <c r="AX100" s="168">
        <f t="shared" si="59"/>
        <v>0</v>
      </c>
      <c r="AY100" s="168">
        <f t="shared" si="60"/>
        <v>0</v>
      </c>
      <c r="AZ100" s="163">
        <f t="shared" si="61"/>
        <v>0</v>
      </c>
      <c r="BA100" s="163">
        <f t="shared" si="62"/>
        <v>1</v>
      </c>
      <c r="BB100" s="163">
        <f t="shared" si="63"/>
        <v>0</v>
      </c>
      <c r="BC100" s="163">
        <f t="shared" si="64"/>
        <v>0</v>
      </c>
      <c r="BD100" s="163">
        <f t="shared" si="65"/>
        <v>1</v>
      </c>
      <c r="BE100" s="163" t="s">
        <v>157</v>
      </c>
      <c r="BF100" s="162" t="s">
        <v>1426</v>
      </c>
    </row>
    <row r="101" spans="1:58">
      <c r="A101" s="159">
        <f t="shared" si="75"/>
        <v>32</v>
      </c>
      <c r="B101" s="159">
        <f t="shared" si="76"/>
        <v>2</v>
      </c>
      <c r="C101" s="190" t="str">
        <f t="shared" si="38"/>
        <v>3202</v>
      </c>
      <c r="D101" s="159" t="s">
        <v>441</v>
      </c>
      <c r="E101" s="192">
        <v>2019</v>
      </c>
      <c r="F101" s="162" t="s">
        <v>1953</v>
      </c>
      <c r="G101" s="162" t="s">
        <v>443</v>
      </c>
      <c r="H101" s="163" t="str">
        <f t="shared" si="67"/>
        <v>UM</v>
      </c>
      <c r="I101" s="163" t="s">
        <v>157</v>
      </c>
      <c r="J101" s="162" t="s">
        <v>186</v>
      </c>
      <c r="K101" s="162" t="s">
        <v>151</v>
      </c>
      <c r="L101" s="162" t="s">
        <v>353</v>
      </c>
      <c r="M101" s="162" t="s">
        <v>2013</v>
      </c>
      <c r="N101" s="163" t="s">
        <v>148</v>
      </c>
      <c r="O101" s="162" t="s">
        <v>153</v>
      </c>
      <c r="P101" s="162" t="s">
        <v>154</v>
      </c>
      <c r="Q101" s="162" t="s">
        <v>155</v>
      </c>
      <c r="R101" s="163">
        <v>2014</v>
      </c>
      <c r="S101" s="194">
        <v>20</v>
      </c>
      <c r="T101" s="194">
        <f>IF(ISNUMBER(S101),S101/VLOOKUP($Q101,xRates!$A$1:$AA$267,studies!$R101-xRates!$B$1+2,FALSE),S101)</f>
        <v>20</v>
      </c>
      <c r="V101" s="194"/>
      <c r="W101" s="163" t="s">
        <v>157</v>
      </c>
      <c r="X101" s="163" t="s">
        <v>157</v>
      </c>
      <c r="Y101" s="163" t="s">
        <v>148</v>
      </c>
      <c r="Z101" s="163" t="s">
        <v>148</v>
      </c>
      <c r="AA101" s="163" t="s">
        <v>148</v>
      </c>
      <c r="AB101" s="163" t="s">
        <v>247</v>
      </c>
      <c r="AC101" s="196">
        <v>1538</v>
      </c>
      <c r="AD101" s="196">
        <v>1538</v>
      </c>
      <c r="AE101" s="192" t="str">
        <f t="shared" si="49"/>
        <v>No</v>
      </c>
      <c r="AF101" s="196">
        <f t="shared" si="68"/>
        <v>5585.5256040000004</v>
      </c>
      <c r="AG101" s="159" t="str">
        <f t="shared" si="50"/>
        <v>Cost-effective</v>
      </c>
      <c r="AH101" s="159" t="str">
        <f t="shared" si="51"/>
        <v>Cost-effective</v>
      </c>
      <c r="AI101" s="198">
        <f t="shared" si="52"/>
        <v>0.27535456983646833</v>
      </c>
      <c r="AJ101" s="198" t="str">
        <f t="shared" si="69"/>
        <v/>
      </c>
      <c r="AK101" s="159" t="str">
        <f t="shared" si="53"/>
        <v>Cost-effective</v>
      </c>
      <c r="AL101" s="198" t="str">
        <f t="shared" si="70"/>
        <v/>
      </c>
      <c r="AM101" s="162" t="str">
        <f t="shared" si="54"/>
        <v>Cost-effective</v>
      </c>
      <c r="AN101" s="198">
        <f t="shared" si="71"/>
        <v>0.52689097161017251</v>
      </c>
      <c r="AO101" s="159" t="str">
        <f t="shared" si="55"/>
        <v>Cost-effective</v>
      </c>
      <c r="AP101" s="198">
        <f t="shared" si="72"/>
        <v>0.17513184612965055</v>
      </c>
      <c r="AQ101" s="159" t="str">
        <f t="shared" si="56"/>
        <v>Not cost-effective</v>
      </c>
      <c r="AR101" s="198">
        <f t="shared" si="73"/>
        <v>2.6568225612650944</v>
      </c>
      <c r="AS101" s="159" t="str">
        <f t="shared" si="57"/>
        <v>Cost-effective</v>
      </c>
      <c r="AT101" s="198">
        <f t="shared" si="74"/>
        <v>1.1009358988009679</v>
      </c>
      <c r="AU101" s="159" t="str">
        <f t="shared" si="58"/>
        <v>Cost-effective</v>
      </c>
      <c r="AV101" s="162" t="s">
        <v>210</v>
      </c>
      <c r="AW101" s="162" t="s">
        <v>1995</v>
      </c>
      <c r="AX101" s="168">
        <f t="shared" si="59"/>
        <v>0</v>
      </c>
      <c r="AY101" s="168">
        <f t="shared" si="60"/>
        <v>0</v>
      </c>
      <c r="AZ101" s="163">
        <f t="shared" si="61"/>
        <v>0</v>
      </c>
      <c r="BA101" s="163">
        <f t="shared" si="62"/>
        <v>1</v>
      </c>
      <c r="BB101" s="163">
        <f t="shared" si="63"/>
        <v>0</v>
      </c>
      <c r="BC101" s="163">
        <f t="shared" si="64"/>
        <v>0</v>
      </c>
      <c r="BD101" s="163">
        <f t="shared" si="65"/>
        <v>1</v>
      </c>
      <c r="BE101" s="163" t="s">
        <v>157</v>
      </c>
      <c r="BF101" s="162" t="s">
        <v>1426</v>
      </c>
    </row>
    <row r="102" spans="1:58">
      <c r="A102" s="159">
        <f t="shared" si="75"/>
        <v>33</v>
      </c>
      <c r="B102" s="159">
        <f t="shared" si="76"/>
        <v>1</v>
      </c>
      <c r="C102" s="190" t="str">
        <f t="shared" si="38"/>
        <v>3301</v>
      </c>
      <c r="D102" s="159" t="s">
        <v>447</v>
      </c>
      <c r="E102" s="192">
        <v>2020</v>
      </c>
      <c r="F102" s="162" t="s">
        <v>1954</v>
      </c>
      <c r="G102" s="162" t="s">
        <v>449</v>
      </c>
      <c r="H102" s="163" t="str">
        <f t="shared" si="67"/>
        <v>UM</v>
      </c>
      <c r="I102" s="163" t="s">
        <v>157</v>
      </c>
      <c r="J102" s="162" t="s">
        <v>150</v>
      </c>
      <c r="K102" s="162" t="s">
        <v>151</v>
      </c>
      <c r="L102" s="162" t="s">
        <v>149</v>
      </c>
      <c r="M102" s="162" t="s">
        <v>2013</v>
      </c>
      <c r="N102" s="163" t="s">
        <v>148</v>
      </c>
      <c r="O102" s="162" t="s">
        <v>1979</v>
      </c>
      <c r="P102" s="162" t="s">
        <v>450</v>
      </c>
      <c r="Q102" s="162" t="s">
        <v>449</v>
      </c>
      <c r="R102" s="163">
        <v>2016</v>
      </c>
      <c r="S102" s="194">
        <v>7</v>
      </c>
      <c r="T102" s="194">
        <f>S102/24</f>
        <v>0.29166666666666669</v>
      </c>
      <c r="V102" s="194"/>
      <c r="W102" s="163" t="s">
        <v>157</v>
      </c>
      <c r="X102" s="163" t="s">
        <v>157</v>
      </c>
      <c r="Y102" s="163" t="s">
        <v>148</v>
      </c>
      <c r="Z102" s="163" t="s">
        <v>148</v>
      </c>
      <c r="AA102" s="163" t="s">
        <v>148</v>
      </c>
      <c r="AB102" s="163" t="s">
        <v>247</v>
      </c>
      <c r="AC102" s="196">
        <v>374</v>
      </c>
      <c r="AD102" s="196">
        <f>AC102/24</f>
        <v>15.583333333333334</v>
      </c>
      <c r="AE102" s="192" t="str">
        <f t="shared" si="49"/>
        <v>No</v>
      </c>
      <c r="AF102" s="196">
        <f t="shared" si="68"/>
        <v>8060.7965979999999</v>
      </c>
      <c r="AG102" s="159" t="str">
        <f t="shared" si="50"/>
        <v>Cost-effective</v>
      </c>
      <c r="AH102" s="159" t="str">
        <f t="shared" si="51"/>
        <v>Cost-effective</v>
      </c>
      <c r="AI102" s="198">
        <f t="shared" si="52"/>
        <v>1.9332249789307157E-3</v>
      </c>
      <c r="AJ102" s="198" t="str">
        <f t="shared" si="69"/>
        <v/>
      </c>
      <c r="AK102" s="159" t="str">
        <f t="shared" si="53"/>
        <v>Cost-effective</v>
      </c>
      <c r="AL102" s="198" t="str">
        <f t="shared" si="70"/>
        <v/>
      </c>
      <c r="AM102" s="162" t="str">
        <f t="shared" si="54"/>
        <v>Cost-effective</v>
      </c>
      <c r="AN102" s="198" t="str">
        <f t="shared" si="71"/>
        <v/>
      </c>
      <c r="AO102" s="159" t="str">
        <f t="shared" si="55"/>
        <v>Cost-effective</v>
      </c>
      <c r="AP102" s="198" t="str">
        <f t="shared" si="72"/>
        <v/>
      </c>
      <c r="AQ102" s="159" t="str">
        <f t="shared" si="56"/>
        <v>Cost-effective</v>
      </c>
      <c r="AR102" s="198">
        <f t="shared" si="73"/>
        <v>2.0516380568464494</v>
      </c>
      <c r="AS102" s="159" t="str">
        <f t="shared" si="57"/>
        <v>Cost-effective</v>
      </c>
      <c r="AT102" s="198">
        <f t="shared" si="74"/>
        <v>0.85032907766535526</v>
      </c>
      <c r="AU102" s="159" t="str">
        <f t="shared" si="58"/>
        <v>Cost-effective</v>
      </c>
      <c r="AV102" s="162" t="s">
        <v>210</v>
      </c>
      <c r="AW102" s="162" t="s">
        <v>1995</v>
      </c>
      <c r="AX102" s="168">
        <f t="shared" si="59"/>
        <v>0</v>
      </c>
      <c r="AY102" s="168">
        <f t="shared" si="60"/>
        <v>0</v>
      </c>
      <c r="AZ102" s="163">
        <f t="shared" si="61"/>
        <v>0</v>
      </c>
      <c r="BA102" s="163">
        <f t="shared" si="62"/>
        <v>0</v>
      </c>
      <c r="BB102" s="163">
        <f t="shared" si="63"/>
        <v>0</v>
      </c>
      <c r="BC102" s="163">
        <f t="shared" si="64"/>
        <v>0</v>
      </c>
      <c r="BD102" s="163">
        <f t="shared" si="65"/>
        <v>0</v>
      </c>
      <c r="BE102" s="163" t="s">
        <v>157</v>
      </c>
      <c r="BF102" s="162" t="s">
        <v>1428</v>
      </c>
    </row>
    <row r="103" spans="1:58">
      <c r="A103" s="159">
        <f t="shared" si="75"/>
        <v>34</v>
      </c>
      <c r="B103" s="159">
        <f t="shared" si="76"/>
        <v>1</v>
      </c>
      <c r="C103" s="190" t="str">
        <f t="shared" si="38"/>
        <v>3401</v>
      </c>
      <c r="D103" s="159" t="s">
        <v>453</v>
      </c>
      <c r="E103" s="192">
        <v>2012</v>
      </c>
      <c r="F103" s="162" t="s">
        <v>1955</v>
      </c>
      <c r="G103" s="162" t="s">
        <v>455</v>
      </c>
      <c r="H103" s="163" t="str">
        <f t="shared" si="67"/>
        <v>UM</v>
      </c>
      <c r="I103" s="163" t="s">
        <v>157</v>
      </c>
      <c r="J103" s="162" t="s">
        <v>186</v>
      </c>
      <c r="K103" s="162" t="s">
        <v>150</v>
      </c>
      <c r="L103" s="162" t="s">
        <v>651</v>
      </c>
      <c r="M103" s="162" t="s">
        <v>2014</v>
      </c>
      <c r="N103" s="163" t="s">
        <v>148</v>
      </c>
      <c r="O103" s="162" t="s">
        <v>1979</v>
      </c>
      <c r="P103" s="162" t="s">
        <v>154</v>
      </c>
      <c r="Q103" s="162" t="s">
        <v>155</v>
      </c>
      <c r="R103" s="163">
        <v>2011</v>
      </c>
      <c r="S103" s="194">
        <v>55</v>
      </c>
      <c r="T103" s="194">
        <f>IF(ISNUMBER(S103),S103/VLOOKUP($Q103,xRates!$A$1:$AA$267,studies!$R103-xRates!$B$1+2,FALSE),S103)</f>
        <v>55</v>
      </c>
      <c r="U103" s="163">
        <v>55</v>
      </c>
      <c r="V103" s="194">
        <v>55</v>
      </c>
      <c r="W103" s="163" t="s">
        <v>157</v>
      </c>
      <c r="X103" s="163" t="s">
        <v>157</v>
      </c>
      <c r="Y103" s="163" t="s">
        <v>148</v>
      </c>
      <c r="Z103" s="163" t="s">
        <v>148</v>
      </c>
      <c r="AA103" s="163" t="s">
        <v>148</v>
      </c>
      <c r="AB103" s="163" t="s">
        <v>159</v>
      </c>
      <c r="AC103" s="196">
        <f>-3483803/2223</f>
        <v>-1567.1628430049482</v>
      </c>
      <c r="AD103" s="196">
        <v>-2223</v>
      </c>
      <c r="AE103" s="192" t="str">
        <f t="shared" si="49"/>
        <v>Yes</v>
      </c>
      <c r="AF103" s="196">
        <f t="shared" si="68"/>
        <v>11420.55546</v>
      </c>
      <c r="AG103" s="159" t="str">
        <f t="shared" si="50"/>
        <v>Cost-saving</v>
      </c>
      <c r="AH103" s="159" t="str">
        <f t="shared" si="51"/>
        <v>Cost-saving</v>
      </c>
      <c r="AI103" s="198">
        <f t="shared" si="52"/>
        <v>-0.19464902629175623</v>
      </c>
      <c r="AJ103" s="198">
        <f t="shared" si="69"/>
        <v>1.43</v>
      </c>
      <c r="AK103" s="159" t="str">
        <f t="shared" si="53"/>
        <v>Cost-saving</v>
      </c>
      <c r="AL103" s="198">
        <f t="shared" si="70"/>
        <v>0.82</v>
      </c>
      <c r="AM103" s="162" t="str">
        <f t="shared" si="54"/>
        <v>Cost-saving</v>
      </c>
      <c r="AN103" s="198">
        <f t="shared" si="71"/>
        <v>0.54388575340378054</v>
      </c>
      <c r="AO103" s="159" t="str">
        <f t="shared" si="55"/>
        <v>Cost-saving</v>
      </c>
      <c r="AP103" s="198">
        <f t="shared" si="72"/>
        <v>0.2338526413848058</v>
      </c>
      <c r="AQ103" s="159" t="str">
        <f t="shared" si="56"/>
        <v>Cost-saving</v>
      </c>
      <c r="AR103" s="198">
        <f t="shared" si="73"/>
        <v>0.76018072360236422</v>
      </c>
      <c r="AS103" s="159" t="str">
        <f t="shared" si="57"/>
        <v>Cost-saving</v>
      </c>
      <c r="AT103" s="198">
        <f t="shared" si="74"/>
        <v>0.31507923271318067</v>
      </c>
      <c r="AU103" s="159" t="str">
        <f t="shared" si="58"/>
        <v>Cost-saving</v>
      </c>
      <c r="AW103" s="162" t="s">
        <v>1994</v>
      </c>
      <c r="AX103" s="168" t="str">
        <f t="shared" si="59"/>
        <v/>
      </c>
      <c r="AY103" s="168" t="str">
        <f t="shared" si="60"/>
        <v/>
      </c>
      <c r="AZ103" s="163" t="str">
        <f t="shared" si="61"/>
        <v/>
      </c>
      <c r="BA103" s="163" t="str">
        <f t="shared" si="62"/>
        <v/>
      </c>
      <c r="BB103" s="163" t="str">
        <f t="shared" si="63"/>
        <v/>
      </c>
      <c r="BC103" s="163" t="str">
        <f t="shared" si="64"/>
        <v/>
      </c>
      <c r="BD103" s="163">
        <f t="shared" si="65"/>
        <v>0</v>
      </c>
      <c r="BE103" s="163" t="s">
        <v>157</v>
      </c>
      <c r="BF103" s="162" t="s">
        <v>1425</v>
      </c>
    </row>
    <row r="104" spans="1:58" s="173" customFormat="1">
      <c r="A104" s="159">
        <f t="shared" si="75"/>
        <v>34</v>
      </c>
      <c r="B104" s="159">
        <f t="shared" si="76"/>
        <v>2</v>
      </c>
      <c r="C104" s="190" t="str">
        <f t="shared" si="38"/>
        <v>3402</v>
      </c>
      <c r="D104" s="171" t="s">
        <v>453</v>
      </c>
      <c r="E104" s="193">
        <v>2012</v>
      </c>
      <c r="F104" s="162" t="s">
        <v>1955</v>
      </c>
      <c r="G104" s="173" t="s">
        <v>455</v>
      </c>
      <c r="H104" s="174" t="str">
        <f t="shared" si="67"/>
        <v>UM</v>
      </c>
      <c r="I104" s="174" t="s">
        <v>157</v>
      </c>
      <c r="J104" s="173" t="s">
        <v>186</v>
      </c>
      <c r="K104" s="173" t="s">
        <v>183</v>
      </c>
      <c r="L104" s="162" t="s">
        <v>371</v>
      </c>
      <c r="M104" s="173" t="s">
        <v>2014</v>
      </c>
      <c r="N104" s="174" t="s">
        <v>148</v>
      </c>
      <c r="O104" s="175" t="s">
        <v>1979</v>
      </c>
      <c r="P104" s="173" t="s">
        <v>154</v>
      </c>
      <c r="Q104" s="173" t="s">
        <v>155</v>
      </c>
      <c r="R104" s="193">
        <v>2011</v>
      </c>
      <c r="S104" s="197">
        <v>55</v>
      </c>
      <c r="T104" s="197">
        <f>IF(ISNUMBER(S104),S104/VLOOKUP($Q104,xRates!$A$1:$AA$267,studies!$R104-xRates!$B$1+2,FALSE),S104)</f>
        <v>55</v>
      </c>
      <c r="U104" s="174">
        <v>55</v>
      </c>
      <c r="V104" s="197">
        <v>55</v>
      </c>
      <c r="W104" s="174" t="s">
        <v>157</v>
      </c>
      <c r="X104" s="174" t="s">
        <v>157</v>
      </c>
      <c r="Y104" s="174" t="s">
        <v>148</v>
      </c>
      <c r="Z104" s="174" t="s">
        <v>148</v>
      </c>
      <c r="AA104" s="174" t="s">
        <v>148</v>
      </c>
      <c r="AB104" s="163" t="s">
        <v>159</v>
      </c>
      <c r="AC104" s="193">
        <v>999999</v>
      </c>
      <c r="AD104" s="193">
        <v>999999</v>
      </c>
      <c r="AE104" s="192" t="str">
        <f t="shared" si="49"/>
        <v>No</v>
      </c>
      <c r="AF104" s="193">
        <f t="shared" si="68"/>
        <v>11420.55546</v>
      </c>
      <c r="AG104" s="159" t="str">
        <f t="shared" si="50"/>
        <v>Not cost-effective</v>
      </c>
      <c r="AH104" s="159" t="str">
        <f t="shared" si="51"/>
        <v>Not cost-effective</v>
      </c>
      <c r="AI104" s="198">
        <f t="shared" si="52"/>
        <v>87.56132777450739</v>
      </c>
      <c r="AJ104" s="198">
        <f t="shared" si="69"/>
        <v>1.43</v>
      </c>
      <c r="AK104" s="159" t="str">
        <f t="shared" si="53"/>
        <v>Not cost-effective</v>
      </c>
      <c r="AL104" s="198">
        <f t="shared" si="70"/>
        <v>0.82</v>
      </c>
      <c r="AM104" s="162" t="str">
        <f t="shared" si="54"/>
        <v>Not cost-effective</v>
      </c>
      <c r="AN104" s="198">
        <f t="shared" si="71"/>
        <v>0.54388575340378054</v>
      </c>
      <c r="AO104" s="159" t="str">
        <f t="shared" si="55"/>
        <v>Not cost-effective</v>
      </c>
      <c r="AP104" s="198">
        <f t="shared" si="72"/>
        <v>0.2338526413848058</v>
      </c>
      <c r="AQ104" s="159" t="str">
        <f t="shared" si="56"/>
        <v>Not cost-effective</v>
      </c>
      <c r="AR104" s="198">
        <f t="shared" si="73"/>
        <v>0.76018072360236422</v>
      </c>
      <c r="AS104" s="159" t="str">
        <f t="shared" si="57"/>
        <v>Not cost-effective</v>
      </c>
      <c r="AT104" s="198">
        <f t="shared" si="74"/>
        <v>0.31507923271318067</v>
      </c>
      <c r="AU104" s="159" t="str">
        <f t="shared" si="58"/>
        <v>Not cost-effective</v>
      </c>
      <c r="AW104" s="173" t="s">
        <v>1993</v>
      </c>
      <c r="AX104" s="168" t="str">
        <f t="shared" si="59"/>
        <v/>
      </c>
      <c r="AY104" s="168" t="str">
        <f t="shared" si="60"/>
        <v/>
      </c>
      <c r="AZ104" s="163" t="str">
        <f t="shared" si="61"/>
        <v/>
      </c>
      <c r="BA104" s="163" t="str">
        <f t="shared" si="62"/>
        <v/>
      </c>
      <c r="BB104" s="163" t="str">
        <f t="shared" si="63"/>
        <v/>
      </c>
      <c r="BC104" s="163" t="str">
        <f t="shared" si="64"/>
        <v/>
      </c>
      <c r="BD104" s="163">
        <f t="shared" si="65"/>
        <v>0</v>
      </c>
      <c r="BE104" s="174" t="s">
        <v>157</v>
      </c>
      <c r="BF104" s="162" t="s">
        <v>1425</v>
      </c>
    </row>
    <row r="105" spans="1:58">
      <c r="A105" s="159">
        <f t="shared" si="75"/>
        <v>34</v>
      </c>
      <c r="B105" s="159">
        <f t="shared" si="76"/>
        <v>3</v>
      </c>
      <c r="C105" s="190" t="str">
        <f t="shared" si="38"/>
        <v>3403</v>
      </c>
      <c r="D105" s="159" t="s">
        <v>453</v>
      </c>
      <c r="E105" s="192">
        <v>2012</v>
      </c>
      <c r="F105" s="162" t="s">
        <v>1955</v>
      </c>
      <c r="G105" s="162" t="s">
        <v>455</v>
      </c>
      <c r="H105" s="163" t="str">
        <f t="shared" si="67"/>
        <v>UM</v>
      </c>
      <c r="I105" s="163" t="s">
        <v>157</v>
      </c>
      <c r="J105" s="162" t="s">
        <v>183</v>
      </c>
      <c r="K105" s="162" t="s">
        <v>150</v>
      </c>
      <c r="L105" s="162" t="s">
        <v>651</v>
      </c>
      <c r="M105" s="162" t="s">
        <v>2014</v>
      </c>
      <c r="N105" s="163" t="s">
        <v>148</v>
      </c>
      <c r="O105" s="162" t="s">
        <v>1979</v>
      </c>
      <c r="P105" s="162" t="s">
        <v>154</v>
      </c>
      <c r="Q105" s="162" t="s">
        <v>155</v>
      </c>
      <c r="R105" s="163">
        <v>2000</v>
      </c>
      <c r="S105" s="194">
        <v>55</v>
      </c>
      <c r="T105" s="194">
        <f>IF(ISNUMBER(S105),S105/VLOOKUP($Q105,xRates!$A$1:$AA$267,studies!$R105-xRates!$B$1+2,FALSE),S105)</f>
        <v>55</v>
      </c>
      <c r="U105" s="163">
        <v>55</v>
      </c>
      <c r="V105" s="194">
        <v>55</v>
      </c>
      <c r="W105" s="163" t="s">
        <v>157</v>
      </c>
      <c r="X105" s="163" t="s">
        <v>157</v>
      </c>
      <c r="Y105" s="163" t="s">
        <v>148</v>
      </c>
      <c r="Z105" s="163" t="s">
        <v>148</v>
      </c>
      <c r="AA105" s="163" t="s">
        <v>148</v>
      </c>
      <c r="AB105" s="163" t="s">
        <v>159</v>
      </c>
      <c r="AC105" s="196">
        <f>-11718813/3156</f>
        <v>-3713.1853612167301</v>
      </c>
      <c r="AD105" s="196">
        <v>-3156</v>
      </c>
      <c r="AE105" s="192" t="str">
        <f t="shared" si="49"/>
        <v>Yes</v>
      </c>
      <c r="AF105" s="196">
        <f t="shared" si="68"/>
        <v>4337.4780030000002</v>
      </c>
      <c r="AG105" s="159" t="str">
        <f t="shared" si="50"/>
        <v>Cost-saving</v>
      </c>
      <c r="AH105" s="159" t="str">
        <f t="shared" si="51"/>
        <v>Cost-saving</v>
      </c>
      <c r="AI105" s="198">
        <f t="shared" si="52"/>
        <v>-0.72761175914140996</v>
      </c>
      <c r="AJ105" s="198">
        <f t="shared" si="69"/>
        <v>1.43</v>
      </c>
      <c r="AK105" s="159" t="str">
        <f t="shared" si="53"/>
        <v>Cost-saving</v>
      </c>
      <c r="AL105" s="198">
        <f t="shared" si="70"/>
        <v>0.82</v>
      </c>
      <c r="AM105" s="162" t="str">
        <f t="shared" si="54"/>
        <v>Cost-saving</v>
      </c>
      <c r="AN105" s="198">
        <f t="shared" si="71"/>
        <v>0.54388575340378054</v>
      </c>
      <c r="AO105" s="159" t="str">
        <f t="shared" si="55"/>
        <v>Cost-saving</v>
      </c>
      <c r="AP105" s="198">
        <f t="shared" si="72"/>
        <v>0.2338526413848058</v>
      </c>
      <c r="AQ105" s="159" t="str">
        <f t="shared" si="56"/>
        <v>Cost-saving</v>
      </c>
      <c r="AR105" s="198">
        <f t="shared" si="73"/>
        <v>0.76018072360236422</v>
      </c>
      <c r="AS105" s="159" t="str">
        <f t="shared" si="57"/>
        <v>Cost-saving</v>
      </c>
      <c r="AT105" s="198">
        <f t="shared" si="74"/>
        <v>0.31507923271318067</v>
      </c>
      <c r="AU105" s="159" t="str">
        <f t="shared" si="58"/>
        <v>Cost-saving</v>
      </c>
      <c r="AW105" s="162" t="s">
        <v>1994</v>
      </c>
      <c r="AX105" s="168" t="str">
        <f t="shared" si="59"/>
        <v/>
      </c>
      <c r="AY105" s="168" t="str">
        <f t="shared" si="60"/>
        <v/>
      </c>
      <c r="AZ105" s="163" t="str">
        <f t="shared" si="61"/>
        <v/>
      </c>
      <c r="BA105" s="163" t="str">
        <f t="shared" si="62"/>
        <v/>
      </c>
      <c r="BB105" s="163" t="str">
        <f t="shared" si="63"/>
        <v/>
      </c>
      <c r="BC105" s="163" t="str">
        <f t="shared" si="64"/>
        <v/>
      </c>
      <c r="BD105" s="163">
        <f t="shared" si="65"/>
        <v>0</v>
      </c>
      <c r="BE105" s="163" t="s">
        <v>157</v>
      </c>
      <c r="BF105" s="162" t="s">
        <v>1425</v>
      </c>
    </row>
    <row r="106" spans="1:58">
      <c r="A106" s="159">
        <f t="shared" si="75"/>
        <v>35</v>
      </c>
      <c r="B106" s="159">
        <f t="shared" si="76"/>
        <v>1</v>
      </c>
      <c r="C106" s="190" t="str">
        <f t="shared" si="38"/>
        <v>3501</v>
      </c>
      <c r="D106" s="159" t="s">
        <v>464</v>
      </c>
      <c r="E106" s="192">
        <v>2012</v>
      </c>
      <c r="F106" s="162" t="s">
        <v>1956</v>
      </c>
      <c r="G106" s="162" t="s">
        <v>421</v>
      </c>
      <c r="H106" s="163" t="str">
        <f t="shared" si="67"/>
        <v>UM</v>
      </c>
      <c r="I106" s="163" t="s">
        <v>157</v>
      </c>
      <c r="J106" s="162" t="s">
        <v>150</v>
      </c>
      <c r="K106" s="162" t="s">
        <v>151</v>
      </c>
      <c r="L106" s="162" t="s">
        <v>149</v>
      </c>
      <c r="M106" s="162" t="s">
        <v>2013</v>
      </c>
      <c r="N106" s="163" t="s">
        <v>148</v>
      </c>
      <c r="O106" s="162" t="s">
        <v>153</v>
      </c>
      <c r="P106" s="162" t="s">
        <v>154</v>
      </c>
      <c r="Q106" s="162" t="s">
        <v>155</v>
      </c>
      <c r="R106" s="163">
        <v>2009</v>
      </c>
      <c r="S106" s="194">
        <v>14</v>
      </c>
      <c r="T106" s="194">
        <f>IF(ISNUMBER(S106),S106/VLOOKUP($Q106,xRates!$A$1:$AA$267,studies!$R106-xRates!$B$1+2,FALSE),S106)</f>
        <v>14</v>
      </c>
      <c r="V106" s="194"/>
      <c r="W106" s="163" t="s">
        <v>157</v>
      </c>
      <c r="X106" s="163" t="s">
        <v>157</v>
      </c>
      <c r="Y106" s="163" t="s">
        <v>148</v>
      </c>
      <c r="Z106" s="163" t="s">
        <v>148</v>
      </c>
      <c r="AA106" s="163" t="s">
        <v>148</v>
      </c>
      <c r="AB106" s="163" t="s">
        <v>469</v>
      </c>
      <c r="AC106" s="196">
        <v>999999</v>
      </c>
      <c r="AD106" s="196">
        <f>AC106</f>
        <v>999999</v>
      </c>
      <c r="AE106" s="192" t="str">
        <f t="shared" si="49"/>
        <v>No</v>
      </c>
      <c r="AF106" s="196">
        <f t="shared" si="68"/>
        <v>5193.2414580000004</v>
      </c>
      <c r="AG106" s="159" t="str">
        <f t="shared" si="50"/>
        <v>Not cost-effective</v>
      </c>
      <c r="AH106" s="159" t="str">
        <f t="shared" si="51"/>
        <v>Not cost-effective</v>
      </c>
      <c r="AI106" s="198">
        <f t="shared" si="52"/>
        <v>192.55777111220925</v>
      </c>
      <c r="AJ106" s="198">
        <f t="shared" si="69"/>
        <v>1.89</v>
      </c>
      <c r="AK106" s="159" t="str">
        <f t="shared" si="53"/>
        <v>Not cost-effective</v>
      </c>
      <c r="AL106" s="198">
        <f t="shared" si="70"/>
        <v>1.17</v>
      </c>
      <c r="AM106" s="162" t="str">
        <f t="shared" si="54"/>
        <v>Not cost-effective</v>
      </c>
      <c r="AN106" s="198">
        <f t="shared" si="71"/>
        <v>0.67142448878179284</v>
      </c>
      <c r="AO106" s="159" t="str">
        <f t="shared" si="55"/>
        <v>Not cost-effective</v>
      </c>
      <c r="AP106" s="198">
        <f t="shared" si="72"/>
        <v>0.16670017209696561</v>
      </c>
      <c r="AQ106" s="159" t="str">
        <f t="shared" si="56"/>
        <v>Not cost-effective</v>
      </c>
      <c r="AR106" s="198">
        <f t="shared" si="73"/>
        <v>1.3237396338136047</v>
      </c>
      <c r="AS106" s="159" t="str">
        <f t="shared" si="57"/>
        <v>Not cost-effective</v>
      </c>
      <c r="AT106" s="198">
        <f t="shared" si="74"/>
        <v>0.54863988350299309</v>
      </c>
      <c r="AU106" s="159" t="str">
        <f t="shared" si="58"/>
        <v>Not cost-effective</v>
      </c>
      <c r="AV106" s="162" t="s">
        <v>210</v>
      </c>
      <c r="AW106" s="162" t="s">
        <v>1993</v>
      </c>
      <c r="AX106" s="168" t="str">
        <f t="shared" si="59"/>
        <v/>
      </c>
      <c r="AY106" s="168" t="str">
        <f t="shared" si="60"/>
        <v/>
      </c>
      <c r="AZ106" s="163" t="str">
        <f t="shared" si="61"/>
        <v/>
      </c>
      <c r="BA106" s="163" t="str">
        <f t="shared" si="62"/>
        <v/>
      </c>
      <c r="BB106" s="163" t="str">
        <f t="shared" si="63"/>
        <v/>
      </c>
      <c r="BC106" s="163" t="str">
        <f t="shared" si="64"/>
        <v/>
      </c>
      <c r="BD106" s="163">
        <f t="shared" si="65"/>
        <v>0</v>
      </c>
      <c r="BE106" s="163" t="s">
        <v>157</v>
      </c>
      <c r="BF106" s="162" t="s">
        <v>1427</v>
      </c>
    </row>
    <row r="107" spans="1:58">
      <c r="A107" s="159">
        <f t="shared" si="75"/>
        <v>35</v>
      </c>
      <c r="B107" s="159">
        <f t="shared" si="76"/>
        <v>2</v>
      </c>
      <c r="C107" s="190" t="str">
        <f t="shared" si="38"/>
        <v>3502</v>
      </c>
      <c r="D107" s="159" t="s">
        <v>464</v>
      </c>
      <c r="E107" s="192">
        <v>2012</v>
      </c>
      <c r="F107" s="162" t="s">
        <v>1956</v>
      </c>
      <c r="G107" s="162" t="s">
        <v>421</v>
      </c>
      <c r="H107" s="163" t="str">
        <f t="shared" si="67"/>
        <v>UM</v>
      </c>
      <c r="I107" s="163" t="s">
        <v>157</v>
      </c>
      <c r="J107" s="162" t="s">
        <v>183</v>
      </c>
      <c r="K107" s="162" t="s">
        <v>151</v>
      </c>
      <c r="L107" s="162" t="s">
        <v>352</v>
      </c>
      <c r="M107" s="162" t="s">
        <v>2013</v>
      </c>
      <c r="N107" s="163" t="s">
        <v>148</v>
      </c>
      <c r="O107" s="162" t="s">
        <v>153</v>
      </c>
      <c r="P107" s="162" t="s">
        <v>154</v>
      </c>
      <c r="Q107" s="162" t="s">
        <v>155</v>
      </c>
      <c r="R107" s="163">
        <v>2009</v>
      </c>
      <c r="S107" s="194">
        <v>14.85</v>
      </c>
      <c r="T107" s="194">
        <f>IF(ISNUMBER(S107),S107/VLOOKUP($Q107,xRates!$A$1:$AA$267,studies!$R107-xRates!$B$1+2,FALSE),S107)</f>
        <v>14.85</v>
      </c>
      <c r="V107" s="194"/>
      <c r="W107" s="163" t="s">
        <v>157</v>
      </c>
      <c r="X107" s="163" t="s">
        <v>157</v>
      </c>
      <c r="Y107" s="163" t="s">
        <v>148</v>
      </c>
      <c r="Z107" s="163" t="s">
        <v>148</v>
      </c>
      <c r="AA107" s="163" t="s">
        <v>148</v>
      </c>
      <c r="AB107" s="163" t="s">
        <v>469</v>
      </c>
      <c r="AC107" s="196">
        <f>19441588/10581</f>
        <v>1837.4055382289009</v>
      </c>
      <c r="AD107" s="196">
        <f>AC107</f>
        <v>1837.4055382289009</v>
      </c>
      <c r="AE107" s="192" t="str">
        <f t="shared" si="49"/>
        <v>No</v>
      </c>
      <c r="AF107" s="196">
        <f t="shared" si="68"/>
        <v>5193.2414580000004</v>
      </c>
      <c r="AG107" s="159" t="str">
        <f t="shared" si="50"/>
        <v>Cost-effective</v>
      </c>
      <c r="AH107" s="159" t="str">
        <f t="shared" si="51"/>
        <v>Cost-effective</v>
      </c>
      <c r="AI107" s="198">
        <f t="shared" si="52"/>
        <v>0.35380706887765523</v>
      </c>
      <c r="AJ107" s="198">
        <f t="shared" si="69"/>
        <v>1.89</v>
      </c>
      <c r="AK107" s="159" t="str">
        <f t="shared" si="53"/>
        <v>Cost-effective</v>
      </c>
      <c r="AL107" s="198">
        <f t="shared" si="70"/>
        <v>1.17</v>
      </c>
      <c r="AM107" s="162" t="str">
        <f t="shared" si="54"/>
        <v>Cost-effective</v>
      </c>
      <c r="AN107" s="198">
        <f t="shared" si="71"/>
        <v>0.67142448878179284</v>
      </c>
      <c r="AO107" s="159" t="str">
        <f t="shared" si="55"/>
        <v>Cost-effective</v>
      </c>
      <c r="AP107" s="198">
        <f t="shared" si="72"/>
        <v>0.16670017209696561</v>
      </c>
      <c r="AQ107" s="159" t="str">
        <f t="shared" si="56"/>
        <v>Not cost-effective</v>
      </c>
      <c r="AR107" s="198">
        <f t="shared" si="73"/>
        <v>1.3237396338136047</v>
      </c>
      <c r="AS107" s="159" t="str">
        <f t="shared" si="57"/>
        <v>Cost-effective</v>
      </c>
      <c r="AT107" s="198">
        <f t="shared" si="74"/>
        <v>0.54863988350299309</v>
      </c>
      <c r="AU107" s="159" t="str">
        <f t="shared" si="58"/>
        <v>Cost-effective</v>
      </c>
      <c r="AV107" s="162" t="s">
        <v>210</v>
      </c>
      <c r="AW107" s="162" t="s">
        <v>1995</v>
      </c>
      <c r="AX107" s="168">
        <f t="shared" si="59"/>
        <v>0</v>
      </c>
      <c r="AY107" s="168">
        <f t="shared" si="60"/>
        <v>0</v>
      </c>
      <c r="AZ107" s="163">
        <f t="shared" si="61"/>
        <v>0</v>
      </c>
      <c r="BA107" s="163">
        <f t="shared" si="62"/>
        <v>1</v>
      </c>
      <c r="BB107" s="163">
        <f t="shared" si="63"/>
        <v>0</v>
      </c>
      <c r="BC107" s="163">
        <f t="shared" si="64"/>
        <v>0</v>
      </c>
      <c r="BD107" s="163">
        <f t="shared" si="65"/>
        <v>1</v>
      </c>
      <c r="BE107" s="163" t="s">
        <v>157</v>
      </c>
      <c r="BF107" s="162" t="s">
        <v>1427</v>
      </c>
    </row>
    <row r="108" spans="1:58">
      <c r="A108" s="159">
        <f t="shared" si="75"/>
        <v>35</v>
      </c>
      <c r="B108" s="159">
        <f t="shared" si="76"/>
        <v>3</v>
      </c>
      <c r="C108" s="190" t="str">
        <f t="shared" si="38"/>
        <v>3503</v>
      </c>
      <c r="D108" s="159" t="s">
        <v>464</v>
      </c>
      <c r="E108" s="192">
        <v>2012</v>
      </c>
      <c r="F108" s="162" t="s">
        <v>1956</v>
      </c>
      <c r="G108" s="162" t="s">
        <v>421</v>
      </c>
      <c r="H108" s="163" t="str">
        <f t="shared" si="67"/>
        <v>UM</v>
      </c>
      <c r="I108" s="163" t="s">
        <v>157</v>
      </c>
      <c r="J108" s="162" t="s">
        <v>186</v>
      </c>
      <c r="K108" s="162" t="s">
        <v>183</v>
      </c>
      <c r="L108" s="162" t="s">
        <v>371</v>
      </c>
      <c r="M108" s="162" t="s">
        <v>2013</v>
      </c>
      <c r="N108" s="163" t="s">
        <v>148</v>
      </c>
      <c r="O108" s="162" t="s">
        <v>153</v>
      </c>
      <c r="P108" s="162" t="s">
        <v>154</v>
      </c>
      <c r="Q108" s="162" t="s">
        <v>155</v>
      </c>
      <c r="R108" s="163">
        <v>2009</v>
      </c>
      <c r="S108" s="194">
        <v>16.3</v>
      </c>
      <c r="T108" s="194">
        <f>IF(ISNUMBER(S108),S108/VLOOKUP($Q108,xRates!$A$1:$AA$267,studies!$R108-xRates!$B$1+2,FALSE),S108)</f>
        <v>16.3</v>
      </c>
      <c r="U108" s="163">
        <v>14.85</v>
      </c>
      <c r="V108" s="194">
        <v>14.85</v>
      </c>
      <c r="W108" s="163" t="s">
        <v>157</v>
      </c>
      <c r="X108" s="163" t="s">
        <v>157</v>
      </c>
      <c r="Y108" s="163" t="s">
        <v>148</v>
      </c>
      <c r="Z108" s="163" t="s">
        <v>148</v>
      </c>
      <c r="AA108" s="163" t="s">
        <v>148</v>
      </c>
      <c r="AB108" s="163" t="s">
        <v>469</v>
      </c>
      <c r="AC108" s="196">
        <v>9516</v>
      </c>
      <c r="AD108" s="196">
        <v>9516</v>
      </c>
      <c r="AE108" s="192" t="str">
        <f t="shared" si="49"/>
        <v>No</v>
      </c>
      <c r="AF108" s="196">
        <f t="shared" si="68"/>
        <v>5193.2414580000004</v>
      </c>
      <c r="AG108" s="159" t="str">
        <f t="shared" si="50"/>
        <v>Not cost-effective</v>
      </c>
      <c r="AH108" s="159" t="str">
        <f t="shared" si="51"/>
        <v>Cost-effective</v>
      </c>
      <c r="AI108" s="198">
        <f t="shared" si="52"/>
        <v>1.8323815822853657</v>
      </c>
      <c r="AJ108" s="198">
        <f t="shared" si="69"/>
        <v>1.89</v>
      </c>
      <c r="AK108" s="159" t="str">
        <f t="shared" si="53"/>
        <v>Cost-effective</v>
      </c>
      <c r="AL108" s="198">
        <f t="shared" si="70"/>
        <v>1.17</v>
      </c>
      <c r="AM108" s="162" t="str">
        <f t="shared" si="54"/>
        <v>Not cost-effective</v>
      </c>
      <c r="AN108" s="198">
        <f t="shared" si="71"/>
        <v>0.67142448878179284</v>
      </c>
      <c r="AO108" s="159" t="str">
        <f t="shared" si="55"/>
        <v>Not cost-effective</v>
      </c>
      <c r="AP108" s="198">
        <f t="shared" si="72"/>
        <v>0.16670017209696561</v>
      </c>
      <c r="AQ108" s="159" t="str">
        <f t="shared" si="56"/>
        <v>Not cost-effective</v>
      </c>
      <c r="AR108" s="198">
        <f t="shared" si="73"/>
        <v>1.3237396338136047</v>
      </c>
      <c r="AS108" s="159" t="str">
        <f t="shared" si="57"/>
        <v>Not cost-effective</v>
      </c>
      <c r="AT108" s="198">
        <f t="shared" si="74"/>
        <v>0.54863988350299309</v>
      </c>
      <c r="AU108" s="159" t="str">
        <f t="shared" si="58"/>
        <v>Not cost-effective</v>
      </c>
      <c r="AV108" s="162" t="s">
        <v>210</v>
      </c>
      <c r="AW108" s="162" t="s">
        <v>1995</v>
      </c>
      <c r="AX108" s="168">
        <f t="shared" si="59"/>
        <v>0</v>
      </c>
      <c r="AY108" s="168">
        <f t="shared" si="60"/>
        <v>1</v>
      </c>
      <c r="AZ108" s="163">
        <f t="shared" si="61"/>
        <v>1</v>
      </c>
      <c r="BA108" s="163">
        <f t="shared" si="62"/>
        <v>1</v>
      </c>
      <c r="BB108" s="163">
        <f t="shared" si="63"/>
        <v>1</v>
      </c>
      <c r="BC108" s="163">
        <f t="shared" si="64"/>
        <v>1</v>
      </c>
      <c r="BD108" s="163">
        <f t="shared" si="65"/>
        <v>5</v>
      </c>
      <c r="BE108" s="163" t="s">
        <v>157</v>
      </c>
      <c r="BF108" s="162" t="s">
        <v>1427</v>
      </c>
    </row>
    <row r="109" spans="1:58">
      <c r="A109" s="159">
        <f t="shared" si="75"/>
        <v>36</v>
      </c>
      <c r="B109" s="159">
        <f t="shared" si="76"/>
        <v>1</v>
      </c>
      <c r="C109" s="190" t="str">
        <f t="shared" si="38"/>
        <v>3601</v>
      </c>
      <c r="D109" s="159" t="s">
        <v>27</v>
      </c>
      <c r="E109" s="192">
        <v>2013</v>
      </c>
      <c r="F109" s="162" t="s">
        <v>1957</v>
      </c>
      <c r="G109" s="162" t="s">
        <v>404</v>
      </c>
      <c r="H109" s="163" t="str">
        <f t="shared" si="67"/>
        <v>UM</v>
      </c>
      <c r="I109" s="163" t="s">
        <v>157</v>
      </c>
      <c r="J109" s="162" t="s">
        <v>150</v>
      </c>
      <c r="K109" s="162" t="s">
        <v>151</v>
      </c>
      <c r="L109" s="162" t="s">
        <v>149</v>
      </c>
      <c r="M109" s="162" t="s">
        <v>2013</v>
      </c>
      <c r="N109" s="163" t="s">
        <v>148</v>
      </c>
      <c r="O109" s="162" t="s">
        <v>1979</v>
      </c>
      <c r="P109" s="162" t="s">
        <v>154</v>
      </c>
      <c r="Q109" s="162" t="s">
        <v>155</v>
      </c>
      <c r="R109" s="163">
        <v>2009</v>
      </c>
      <c r="S109" s="194">
        <v>20</v>
      </c>
      <c r="T109" s="194">
        <f>IF(ISNUMBER(S109),S109/VLOOKUP($Q109,xRates!$A$1:$AA$267,studies!$R109-xRates!$B$1+2,FALSE),S109)</f>
        <v>20</v>
      </c>
      <c r="V109" s="194"/>
      <c r="W109" s="163" t="s">
        <v>157</v>
      </c>
      <c r="X109" s="163" t="s">
        <v>157</v>
      </c>
      <c r="Y109" s="163" t="s">
        <v>148</v>
      </c>
      <c r="Z109" s="163" t="s">
        <v>148</v>
      </c>
      <c r="AA109" s="163" t="s">
        <v>148</v>
      </c>
      <c r="AB109" s="163" t="s">
        <v>159</v>
      </c>
      <c r="AC109" s="196">
        <v>6014</v>
      </c>
      <c r="AD109" s="196">
        <v>6014</v>
      </c>
      <c r="AE109" s="192" t="str">
        <f t="shared" si="49"/>
        <v>No</v>
      </c>
      <c r="AF109" s="196">
        <f t="shared" si="68"/>
        <v>4196.311627</v>
      </c>
      <c r="AG109" s="159" t="str">
        <f t="shared" si="50"/>
        <v>Not cost-effective</v>
      </c>
      <c r="AH109" s="159" t="str">
        <f t="shared" si="51"/>
        <v>Cost-effective</v>
      </c>
      <c r="AI109" s="198">
        <f t="shared" si="52"/>
        <v>1.4331633430902961</v>
      </c>
      <c r="AJ109" s="198">
        <f t="shared" si="69"/>
        <v>1.08</v>
      </c>
      <c r="AK109" s="159" t="str">
        <f t="shared" si="53"/>
        <v>Not cost-effective</v>
      </c>
      <c r="AL109" s="198">
        <f t="shared" si="70"/>
        <v>0.64</v>
      </c>
      <c r="AM109" s="162" t="str">
        <f t="shared" si="54"/>
        <v>Not cost-effective</v>
      </c>
      <c r="AN109" s="198">
        <f t="shared" si="71"/>
        <v>0.64868436103329219</v>
      </c>
      <c r="AO109" s="159" t="str">
        <f t="shared" si="55"/>
        <v>Not cost-effective</v>
      </c>
      <c r="AP109" s="198">
        <f t="shared" si="72"/>
        <v>0.16487209176159878</v>
      </c>
      <c r="AQ109" s="159" t="str">
        <f t="shared" si="56"/>
        <v>Not cost-effective</v>
      </c>
      <c r="AR109" s="198">
        <f t="shared" si="73"/>
        <v>0.88451095719374262</v>
      </c>
      <c r="AS109" s="159" t="str">
        <f t="shared" si="57"/>
        <v>Not cost-effective</v>
      </c>
      <c r="AT109" s="198">
        <f t="shared" si="74"/>
        <v>0.366554090368578</v>
      </c>
      <c r="AU109" s="159" t="str">
        <f t="shared" si="58"/>
        <v>Not cost-effective</v>
      </c>
      <c r="AV109" s="162" t="s">
        <v>173</v>
      </c>
      <c r="AW109" s="162" t="s">
        <v>1995</v>
      </c>
      <c r="AX109" s="168">
        <f t="shared" si="59"/>
        <v>1</v>
      </c>
      <c r="AY109" s="168">
        <f t="shared" si="60"/>
        <v>1</v>
      </c>
      <c r="AZ109" s="163">
        <f t="shared" si="61"/>
        <v>1</v>
      </c>
      <c r="BA109" s="163">
        <f t="shared" si="62"/>
        <v>1</v>
      </c>
      <c r="BB109" s="163">
        <f t="shared" si="63"/>
        <v>1</v>
      </c>
      <c r="BC109" s="163">
        <f t="shared" si="64"/>
        <v>1</v>
      </c>
      <c r="BD109" s="163">
        <f t="shared" si="65"/>
        <v>6</v>
      </c>
      <c r="BE109" s="163" t="s">
        <v>157</v>
      </c>
      <c r="BF109" s="162" t="s">
        <v>1425</v>
      </c>
    </row>
    <row r="110" spans="1:58">
      <c r="A110" s="159">
        <f t="shared" si="75"/>
        <v>36</v>
      </c>
      <c r="B110" s="159">
        <f t="shared" si="76"/>
        <v>2</v>
      </c>
      <c r="C110" s="190" t="str">
        <f t="shared" si="38"/>
        <v>3602</v>
      </c>
      <c r="D110" s="159" t="s">
        <v>27</v>
      </c>
      <c r="E110" s="192">
        <v>2013</v>
      </c>
      <c r="F110" s="162" t="s">
        <v>1957</v>
      </c>
      <c r="G110" s="162" t="s">
        <v>404</v>
      </c>
      <c r="H110" s="163" t="str">
        <f t="shared" si="67"/>
        <v>UM</v>
      </c>
      <c r="I110" s="163" t="s">
        <v>157</v>
      </c>
      <c r="J110" s="162" t="s">
        <v>186</v>
      </c>
      <c r="K110" s="162" t="s">
        <v>151</v>
      </c>
      <c r="L110" s="162" t="s">
        <v>353</v>
      </c>
      <c r="M110" s="162" t="s">
        <v>2013</v>
      </c>
      <c r="N110" s="163" t="s">
        <v>148</v>
      </c>
      <c r="O110" s="162" t="s">
        <v>1979</v>
      </c>
      <c r="P110" s="162" t="s">
        <v>154</v>
      </c>
      <c r="Q110" s="162" t="s">
        <v>155</v>
      </c>
      <c r="R110" s="163">
        <v>2009</v>
      </c>
      <c r="S110" s="194">
        <v>16.34</v>
      </c>
      <c r="T110" s="194">
        <f>IF(ISNUMBER(S110),S110/VLOOKUP($Q110,xRates!$A$1:$AA$267,studies!$R110-xRates!$B$1+2,FALSE),S110)</f>
        <v>16.34</v>
      </c>
      <c r="V110" s="194"/>
      <c r="W110" s="163" t="s">
        <v>157</v>
      </c>
      <c r="X110" s="163" t="s">
        <v>157</v>
      </c>
      <c r="Y110" s="163" t="s">
        <v>148</v>
      </c>
      <c r="Z110" s="163" t="s">
        <v>148</v>
      </c>
      <c r="AA110" s="163" t="s">
        <v>148</v>
      </c>
      <c r="AB110" s="163" t="s">
        <v>159</v>
      </c>
      <c r="AC110" s="196">
        <v>5327</v>
      </c>
      <c r="AD110" s="196">
        <v>5327</v>
      </c>
      <c r="AE110" s="192" t="str">
        <f t="shared" si="49"/>
        <v>No</v>
      </c>
      <c r="AF110" s="196">
        <f t="shared" si="68"/>
        <v>4196.311627</v>
      </c>
      <c r="AG110" s="159" t="str">
        <f t="shared" si="50"/>
        <v>Not cost-effective</v>
      </c>
      <c r="AH110" s="159" t="str">
        <f t="shared" si="51"/>
        <v>Cost-effective</v>
      </c>
      <c r="AI110" s="198">
        <f t="shared" si="52"/>
        <v>1.2694481424413049</v>
      </c>
      <c r="AJ110" s="198">
        <f t="shared" si="69"/>
        <v>1.08</v>
      </c>
      <c r="AK110" s="159" t="str">
        <f t="shared" si="53"/>
        <v>Not cost-effective</v>
      </c>
      <c r="AL110" s="198">
        <f t="shared" si="70"/>
        <v>0.64</v>
      </c>
      <c r="AM110" s="162" t="str">
        <f t="shared" si="54"/>
        <v>Not cost-effective</v>
      </c>
      <c r="AN110" s="198">
        <f t="shared" si="71"/>
        <v>0.64868436103329219</v>
      </c>
      <c r="AO110" s="159" t="str">
        <f t="shared" si="55"/>
        <v>Not cost-effective</v>
      </c>
      <c r="AP110" s="198">
        <f t="shared" si="72"/>
        <v>0.16487209176159878</v>
      </c>
      <c r="AQ110" s="159" t="str">
        <f t="shared" si="56"/>
        <v>Not cost-effective</v>
      </c>
      <c r="AR110" s="198">
        <f t="shared" si="73"/>
        <v>0.88451095719374262</v>
      </c>
      <c r="AS110" s="159" t="str">
        <f t="shared" si="57"/>
        <v>Not cost-effective</v>
      </c>
      <c r="AT110" s="198">
        <f t="shared" si="74"/>
        <v>0.366554090368578</v>
      </c>
      <c r="AU110" s="159" t="str">
        <f t="shared" si="58"/>
        <v>Not cost-effective</v>
      </c>
      <c r="AV110" s="162" t="s">
        <v>173</v>
      </c>
      <c r="AW110" s="162" t="s">
        <v>1995</v>
      </c>
      <c r="AX110" s="168">
        <f t="shared" si="59"/>
        <v>1</v>
      </c>
      <c r="AY110" s="168">
        <f t="shared" si="60"/>
        <v>1</v>
      </c>
      <c r="AZ110" s="163">
        <f t="shared" si="61"/>
        <v>1</v>
      </c>
      <c r="BA110" s="163">
        <f t="shared" si="62"/>
        <v>1</v>
      </c>
      <c r="BB110" s="163">
        <f t="shared" si="63"/>
        <v>1</v>
      </c>
      <c r="BC110" s="163">
        <f t="shared" si="64"/>
        <v>1</v>
      </c>
      <c r="BD110" s="163">
        <f t="shared" si="65"/>
        <v>6</v>
      </c>
      <c r="BE110" s="163" t="s">
        <v>157</v>
      </c>
      <c r="BF110" s="162" t="s">
        <v>1425</v>
      </c>
    </row>
    <row r="111" spans="1:58">
      <c r="A111" s="159">
        <f t="shared" si="75"/>
        <v>36</v>
      </c>
      <c r="B111" s="159">
        <f t="shared" si="76"/>
        <v>3</v>
      </c>
      <c r="C111" s="190" t="str">
        <f t="shared" si="38"/>
        <v>3603</v>
      </c>
      <c r="D111" s="159" t="s">
        <v>27</v>
      </c>
      <c r="E111" s="192">
        <v>2013</v>
      </c>
      <c r="F111" s="162" t="s">
        <v>1957</v>
      </c>
      <c r="G111" s="162" t="s">
        <v>404</v>
      </c>
      <c r="H111" s="163" t="str">
        <f t="shared" si="67"/>
        <v>UM</v>
      </c>
      <c r="I111" s="163" t="s">
        <v>157</v>
      </c>
      <c r="J111" s="162" t="s">
        <v>183</v>
      </c>
      <c r="K111" s="162" t="s">
        <v>151</v>
      </c>
      <c r="L111" s="162" t="s">
        <v>352</v>
      </c>
      <c r="M111" s="162" t="s">
        <v>2013</v>
      </c>
      <c r="N111" s="163" t="s">
        <v>148</v>
      </c>
      <c r="O111" s="162" t="s">
        <v>1979</v>
      </c>
      <c r="P111" s="162" t="s">
        <v>154</v>
      </c>
      <c r="Q111" s="162" t="s">
        <v>155</v>
      </c>
      <c r="R111" s="163">
        <v>2009</v>
      </c>
      <c r="S111" s="194">
        <v>14.24</v>
      </c>
      <c r="T111" s="194">
        <f>IF(ISNUMBER(S111),S111/VLOOKUP($Q111,xRates!$A$1:$AA$267,studies!$R111-xRates!$B$1+2,FALSE),S111)</f>
        <v>14.24</v>
      </c>
      <c r="V111" s="194"/>
      <c r="W111" s="163" t="s">
        <v>157</v>
      </c>
      <c r="X111" s="163" t="s">
        <v>157</v>
      </c>
      <c r="Y111" s="163" t="s">
        <v>148</v>
      </c>
      <c r="Z111" s="163" t="s">
        <v>148</v>
      </c>
      <c r="AA111" s="163" t="s">
        <v>148</v>
      </c>
      <c r="AB111" s="163" t="s">
        <v>159</v>
      </c>
      <c r="AC111" s="196">
        <v>4500</v>
      </c>
      <c r="AD111" s="196">
        <v>4500</v>
      </c>
      <c r="AE111" s="192" t="str">
        <f t="shared" si="49"/>
        <v>No</v>
      </c>
      <c r="AF111" s="196">
        <f t="shared" si="68"/>
        <v>4196.311627</v>
      </c>
      <c r="AG111" s="159" t="str">
        <f t="shared" si="50"/>
        <v>Not cost-effective</v>
      </c>
      <c r="AH111" s="159" t="str">
        <f t="shared" si="51"/>
        <v>Cost-effective</v>
      </c>
      <c r="AI111" s="198">
        <f t="shared" si="52"/>
        <v>1.0723703099278903</v>
      </c>
      <c r="AJ111" s="198">
        <f t="shared" si="69"/>
        <v>1.08</v>
      </c>
      <c r="AK111" s="159" t="str">
        <f t="shared" si="53"/>
        <v>Cost-effective</v>
      </c>
      <c r="AL111" s="198">
        <f t="shared" si="70"/>
        <v>0.64</v>
      </c>
      <c r="AM111" s="162" t="str">
        <f t="shared" si="54"/>
        <v>Not cost-effective</v>
      </c>
      <c r="AN111" s="198">
        <f t="shared" si="71"/>
        <v>0.64868436103329219</v>
      </c>
      <c r="AO111" s="159" t="str">
        <f t="shared" si="55"/>
        <v>Not cost-effective</v>
      </c>
      <c r="AP111" s="198">
        <f t="shared" si="72"/>
        <v>0.16487209176159878</v>
      </c>
      <c r="AQ111" s="159" t="str">
        <f t="shared" si="56"/>
        <v>Not cost-effective</v>
      </c>
      <c r="AR111" s="198">
        <f t="shared" si="73"/>
        <v>0.88451095719374262</v>
      </c>
      <c r="AS111" s="159" t="str">
        <f t="shared" si="57"/>
        <v>Not cost-effective</v>
      </c>
      <c r="AT111" s="198">
        <f t="shared" si="74"/>
        <v>0.366554090368578</v>
      </c>
      <c r="AU111" s="159" t="str">
        <f t="shared" si="58"/>
        <v>Not cost-effective</v>
      </c>
      <c r="AV111" s="162" t="s">
        <v>173</v>
      </c>
      <c r="AW111" s="162" t="s">
        <v>1995</v>
      </c>
      <c r="AX111" s="168">
        <f t="shared" si="59"/>
        <v>0</v>
      </c>
      <c r="AY111" s="168">
        <f t="shared" si="60"/>
        <v>1</v>
      </c>
      <c r="AZ111" s="163">
        <f t="shared" si="61"/>
        <v>1</v>
      </c>
      <c r="BA111" s="163">
        <f t="shared" si="62"/>
        <v>1</v>
      </c>
      <c r="BB111" s="163">
        <f t="shared" si="63"/>
        <v>1</v>
      </c>
      <c r="BC111" s="163">
        <f t="shared" si="64"/>
        <v>1</v>
      </c>
      <c r="BD111" s="163">
        <f t="shared" si="65"/>
        <v>5</v>
      </c>
      <c r="BE111" s="163" t="s">
        <v>157</v>
      </c>
      <c r="BF111" s="162" t="s">
        <v>1425</v>
      </c>
    </row>
    <row r="112" spans="1:58">
      <c r="A112" s="159">
        <f t="shared" si="75"/>
        <v>36</v>
      </c>
      <c r="B112" s="159">
        <f t="shared" si="76"/>
        <v>4</v>
      </c>
      <c r="C112" s="190" t="str">
        <f t="shared" si="38"/>
        <v>3604</v>
      </c>
      <c r="D112" s="159" t="s">
        <v>27</v>
      </c>
      <c r="E112" s="192">
        <v>2013</v>
      </c>
      <c r="F112" s="162" t="s">
        <v>1957</v>
      </c>
      <c r="G112" s="162" t="s">
        <v>404</v>
      </c>
      <c r="H112" s="163" t="str">
        <f t="shared" si="67"/>
        <v>UM</v>
      </c>
      <c r="I112" s="163" t="s">
        <v>157</v>
      </c>
      <c r="J112" s="162" t="s">
        <v>183</v>
      </c>
      <c r="K112" s="162" t="s">
        <v>150</v>
      </c>
      <c r="L112" s="162" t="s">
        <v>651</v>
      </c>
      <c r="M112" s="162" t="s">
        <v>2013</v>
      </c>
      <c r="N112" s="163" t="s">
        <v>148</v>
      </c>
      <c r="O112" s="162" t="s">
        <v>1979</v>
      </c>
      <c r="P112" s="162" t="s">
        <v>154</v>
      </c>
      <c r="Q112" s="162" t="s">
        <v>155</v>
      </c>
      <c r="R112" s="163">
        <v>2009</v>
      </c>
      <c r="S112" s="194">
        <v>14.24</v>
      </c>
      <c r="T112" s="194">
        <f>IF(ISNUMBER(S112),S112/VLOOKUP($Q112,xRates!$A$1:$AA$267,studies!$R112-xRates!$B$1+2,FALSE),S112)</f>
        <v>14.24</v>
      </c>
      <c r="U112" s="163">
        <v>20</v>
      </c>
      <c r="V112" s="194">
        <v>20</v>
      </c>
      <c r="W112" s="163" t="s">
        <v>157</v>
      </c>
      <c r="X112" s="163" t="s">
        <v>157</v>
      </c>
      <c r="Y112" s="163" t="s">
        <v>148</v>
      </c>
      <c r="Z112" s="163" t="s">
        <v>148</v>
      </c>
      <c r="AA112" s="163" t="s">
        <v>148</v>
      </c>
      <c r="AB112" s="163" t="s">
        <v>159</v>
      </c>
      <c r="AC112" s="196">
        <v>-2727</v>
      </c>
      <c r="AD112" s="196">
        <v>-2727</v>
      </c>
      <c r="AE112" s="192" t="str">
        <f t="shared" si="49"/>
        <v>Yes</v>
      </c>
      <c r="AF112" s="196">
        <f t="shared" si="68"/>
        <v>4196.311627</v>
      </c>
      <c r="AG112" s="159" t="str">
        <f t="shared" si="50"/>
        <v>Cost-saving</v>
      </c>
      <c r="AH112" s="159" t="str">
        <f t="shared" si="51"/>
        <v>Cost-saving</v>
      </c>
      <c r="AI112" s="198">
        <f t="shared" si="52"/>
        <v>-0.64985640781630161</v>
      </c>
      <c r="AJ112" s="198">
        <f t="shared" si="69"/>
        <v>1.08</v>
      </c>
      <c r="AK112" s="159" t="str">
        <f t="shared" si="53"/>
        <v>Cost-saving</v>
      </c>
      <c r="AL112" s="198">
        <f t="shared" si="70"/>
        <v>0.64</v>
      </c>
      <c r="AM112" s="162" t="str">
        <f t="shared" si="54"/>
        <v>Cost-saving</v>
      </c>
      <c r="AN112" s="198">
        <f t="shared" si="71"/>
        <v>0.64868436103329219</v>
      </c>
      <c r="AO112" s="159" t="str">
        <f t="shared" si="55"/>
        <v>Cost-saving</v>
      </c>
      <c r="AP112" s="198">
        <f t="shared" si="72"/>
        <v>0.16487209176159878</v>
      </c>
      <c r="AQ112" s="159" t="str">
        <f t="shared" si="56"/>
        <v>Cost-saving</v>
      </c>
      <c r="AR112" s="198">
        <f t="shared" si="73"/>
        <v>0.88451095719374262</v>
      </c>
      <c r="AS112" s="159" t="str">
        <f t="shared" si="57"/>
        <v>Cost-saving</v>
      </c>
      <c r="AT112" s="198">
        <f t="shared" si="74"/>
        <v>0.366554090368578</v>
      </c>
      <c r="AU112" s="159" t="str">
        <f t="shared" si="58"/>
        <v>Cost-saving</v>
      </c>
      <c r="AV112" s="162" t="s">
        <v>173</v>
      </c>
      <c r="AW112" s="162" t="s">
        <v>1994</v>
      </c>
      <c r="AX112" s="168" t="str">
        <f t="shared" si="59"/>
        <v/>
      </c>
      <c r="AY112" s="168" t="str">
        <f t="shared" si="60"/>
        <v/>
      </c>
      <c r="AZ112" s="163" t="str">
        <f t="shared" si="61"/>
        <v/>
      </c>
      <c r="BA112" s="163" t="str">
        <f t="shared" si="62"/>
        <v/>
      </c>
      <c r="BB112" s="163" t="str">
        <f t="shared" si="63"/>
        <v/>
      </c>
      <c r="BC112" s="163" t="str">
        <f t="shared" si="64"/>
        <v/>
      </c>
      <c r="BD112" s="163">
        <f t="shared" si="65"/>
        <v>0</v>
      </c>
      <c r="BE112" s="163" t="s">
        <v>157</v>
      </c>
      <c r="BF112" s="162" t="s">
        <v>1425</v>
      </c>
    </row>
    <row r="113" spans="1:58">
      <c r="A113" s="159">
        <f t="shared" si="75"/>
        <v>36</v>
      </c>
      <c r="B113" s="159">
        <f t="shared" si="76"/>
        <v>5</v>
      </c>
      <c r="C113" s="190" t="str">
        <f t="shared" si="38"/>
        <v>3605</v>
      </c>
      <c r="D113" s="159" t="s">
        <v>27</v>
      </c>
      <c r="E113" s="192">
        <v>2013</v>
      </c>
      <c r="F113" s="162" t="s">
        <v>1957</v>
      </c>
      <c r="G113" s="162" t="s">
        <v>404</v>
      </c>
      <c r="H113" s="163" t="str">
        <f t="shared" si="67"/>
        <v>UM</v>
      </c>
      <c r="I113" s="163" t="s">
        <v>157</v>
      </c>
      <c r="J113" s="162" t="s">
        <v>186</v>
      </c>
      <c r="K113" s="162" t="s">
        <v>150</v>
      </c>
      <c r="L113" s="162" t="s">
        <v>651</v>
      </c>
      <c r="M113" s="162" t="s">
        <v>2013</v>
      </c>
      <c r="N113" s="163" t="s">
        <v>148</v>
      </c>
      <c r="O113" s="162" t="s">
        <v>1979</v>
      </c>
      <c r="P113" s="162" t="s">
        <v>154</v>
      </c>
      <c r="Q113" s="162" t="s">
        <v>155</v>
      </c>
      <c r="R113" s="163">
        <v>2009</v>
      </c>
      <c r="S113" s="194">
        <v>16.34</v>
      </c>
      <c r="T113" s="194">
        <f>IF(ISNUMBER(S113),S113/VLOOKUP($Q113,xRates!$A$1:$AA$267,studies!$R113-xRates!$B$1+2,FALSE),S113)</f>
        <v>16.34</v>
      </c>
      <c r="U113" s="163">
        <v>20</v>
      </c>
      <c r="V113" s="194">
        <v>20</v>
      </c>
      <c r="W113" s="163" t="s">
        <v>157</v>
      </c>
      <c r="X113" s="163" t="s">
        <v>157</v>
      </c>
      <c r="Y113" s="163" t="s">
        <v>148</v>
      </c>
      <c r="Z113" s="163" t="s">
        <v>148</v>
      </c>
      <c r="AA113" s="163" t="s">
        <v>148</v>
      </c>
      <c r="AB113" s="163" t="s">
        <v>159</v>
      </c>
      <c r="AC113" s="196">
        <v>999999</v>
      </c>
      <c r="AD113" s="196">
        <f>AC113</f>
        <v>999999</v>
      </c>
      <c r="AE113" s="192" t="str">
        <f t="shared" si="49"/>
        <v>No</v>
      </c>
      <c r="AF113" s="196">
        <f t="shared" si="68"/>
        <v>4196.311627</v>
      </c>
      <c r="AG113" s="159" t="str">
        <f t="shared" si="50"/>
        <v>Not cost-effective</v>
      </c>
      <c r="AH113" s="159" t="str">
        <f t="shared" si="51"/>
        <v>Not cost-effective</v>
      </c>
      <c r="AI113" s="198">
        <f t="shared" si="52"/>
        <v>238.30427501279567</v>
      </c>
      <c r="AJ113" s="198">
        <f t="shared" si="69"/>
        <v>1.08</v>
      </c>
      <c r="AK113" s="159" t="str">
        <f t="shared" si="53"/>
        <v>Not cost-effective</v>
      </c>
      <c r="AL113" s="198">
        <f t="shared" si="70"/>
        <v>0.64</v>
      </c>
      <c r="AM113" s="162" t="str">
        <f t="shared" si="54"/>
        <v>Not cost-effective</v>
      </c>
      <c r="AN113" s="198">
        <f t="shared" si="71"/>
        <v>0.64868436103329219</v>
      </c>
      <c r="AO113" s="159" t="str">
        <f t="shared" si="55"/>
        <v>Not cost-effective</v>
      </c>
      <c r="AP113" s="198">
        <f t="shared" si="72"/>
        <v>0.16487209176159878</v>
      </c>
      <c r="AQ113" s="159" t="str">
        <f t="shared" si="56"/>
        <v>Not cost-effective</v>
      </c>
      <c r="AR113" s="198">
        <f t="shared" si="73"/>
        <v>0.88451095719374262</v>
      </c>
      <c r="AS113" s="159" t="str">
        <f t="shared" si="57"/>
        <v>Not cost-effective</v>
      </c>
      <c r="AT113" s="198">
        <f t="shared" si="74"/>
        <v>0.366554090368578</v>
      </c>
      <c r="AU113" s="159" t="str">
        <f t="shared" si="58"/>
        <v>Not cost-effective</v>
      </c>
      <c r="AV113" s="162" t="s">
        <v>173</v>
      </c>
      <c r="AW113" s="162" t="s">
        <v>1993</v>
      </c>
      <c r="AX113" s="168" t="str">
        <f t="shared" si="59"/>
        <v/>
      </c>
      <c r="AY113" s="168" t="str">
        <f t="shared" si="60"/>
        <v/>
      </c>
      <c r="AZ113" s="163" t="str">
        <f t="shared" si="61"/>
        <v/>
      </c>
      <c r="BA113" s="163" t="str">
        <f t="shared" si="62"/>
        <v/>
      </c>
      <c r="BB113" s="163" t="str">
        <f t="shared" si="63"/>
        <v/>
      </c>
      <c r="BC113" s="163" t="str">
        <f t="shared" si="64"/>
        <v/>
      </c>
      <c r="BD113" s="163">
        <f t="shared" si="65"/>
        <v>0</v>
      </c>
      <c r="BE113" s="163" t="s">
        <v>157</v>
      </c>
      <c r="BF113" s="162" t="s">
        <v>1425</v>
      </c>
    </row>
    <row r="114" spans="1:58">
      <c r="A114" s="159">
        <f t="shared" si="75"/>
        <v>37</v>
      </c>
      <c r="B114" s="159">
        <f t="shared" si="76"/>
        <v>1</v>
      </c>
      <c r="C114" s="190" t="str">
        <f t="shared" si="38"/>
        <v>3701</v>
      </c>
      <c r="D114" s="159" t="s">
        <v>480</v>
      </c>
      <c r="E114" s="192">
        <v>2015</v>
      </c>
      <c r="F114" s="162" t="s">
        <v>1958</v>
      </c>
      <c r="G114" s="162" t="s">
        <v>482</v>
      </c>
      <c r="H114" s="163" t="str">
        <f t="shared" si="67"/>
        <v>LM</v>
      </c>
      <c r="I114" s="163" t="s">
        <v>157</v>
      </c>
      <c r="J114" s="162" t="s">
        <v>183</v>
      </c>
      <c r="K114" s="162" t="s">
        <v>151</v>
      </c>
      <c r="L114" s="162" t="s">
        <v>352</v>
      </c>
      <c r="M114" s="162" t="s">
        <v>2013</v>
      </c>
      <c r="N114" s="163" t="s">
        <v>148</v>
      </c>
      <c r="O114" s="162" t="s">
        <v>1979</v>
      </c>
      <c r="P114" s="162" t="s">
        <v>154</v>
      </c>
      <c r="Q114" s="162" t="s">
        <v>155</v>
      </c>
      <c r="R114" s="163">
        <v>2009</v>
      </c>
      <c r="S114" s="194">
        <v>14.85</v>
      </c>
      <c r="T114" s="194">
        <f>IF(ISNUMBER(S114),S114/VLOOKUP($Q114,xRates!$A$1:$AA$267,studies!$R114-xRates!$B$1+2,FALSE),S114)</f>
        <v>14.85</v>
      </c>
      <c r="V114" s="194"/>
      <c r="W114" s="163" t="s">
        <v>157</v>
      </c>
      <c r="X114" s="163" t="s">
        <v>157</v>
      </c>
      <c r="Y114" s="163" t="s">
        <v>148</v>
      </c>
      <c r="Z114" s="163" t="s">
        <v>148</v>
      </c>
      <c r="AA114" s="163" t="s">
        <v>148</v>
      </c>
      <c r="AB114" s="163" t="s">
        <v>247</v>
      </c>
      <c r="AC114" s="196">
        <v>3851</v>
      </c>
      <c r="AD114" s="196">
        <v>3851</v>
      </c>
      <c r="AE114" s="192" t="str">
        <f t="shared" si="49"/>
        <v>No</v>
      </c>
      <c r="AF114" s="196">
        <f t="shared" si="68"/>
        <v>3626.8186369999999</v>
      </c>
      <c r="AG114" s="159" t="str">
        <f t="shared" si="50"/>
        <v>Not cost-effective</v>
      </c>
      <c r="AH114" s="159" t="str">
        <f t="shared" si="51"/>
        <v>Cost-effective</v>
      </c>
      <c r="AI114" s="198">
        <f t="shared" si="52"/>
        <v>1.061812123912939</v>
      </c>
      <c r="AJ114" s="198">
        <f t="shared" si="69"/>
        <v>1.42</v>
      </c>
      <c r="AK114" s="159" t="str">
        <f t="shared" si="53"/>
        <v>Cost-effective</v>
      </c>
      <c r="AL114" s="198">
        <f t="shared" si="70"/>
        <v>0.83</v>
      </c>
      <c r="AM114" s="162" t="str">
        <f t="shared" si="54"/>
        <v>Not cost-effective</v>
      </c>
      <c r="AN114" s="198">
        <f t="shared" si="71"/>
        <v>0.36702186686280114</v>
      </c>
      <c r="AO114" s="159" t="str">
        <f t="shared" si="55"/>
        <v>Not cost-effective</v>
      </c>
      <c r="AP114" s="198">
        <f t="shared" si="72"/>
        <v>8.1522984654243125E-2</v>
      </c>
      <c r="AQ114" s="159" t="str">
        <f t="shared" si="56"/>
        <v>Not cost-effective</v>
      </c>
      <c r="AR114" s="198">
        <f t="shared" si="73"/>
        <v>1.1990418097854487</v>
      </c>
      <c r="AS114" s="159" t="str">
        <f t="shared" si="57"/>
        <v>Cost-effective</v>
      </c>
      <c r="AT114" s="198">
        <f t="shared" si="74"/>
        <v>0.49693704267921418</v>
      </c>
      <c r="AU114" s="159" t="str">
        <f t="shared" si="58"/>
        <v>Not cost-effective</v>
      </c>
      <c r="AV114" s="162" t="s">
        <v>173</v>
      </c>
      <c r="AW114" s="162" t="s">
        <v>1995</v>
      </c>
      <c r="AX114" s="168">
        <f t="shared" si="59"/>
        <v>0</v>
      </c>
      <c r="AY114" s="168">
        <f t="shared" si="60"/>
        <v>1</v>
      </c>
      <c r="AZ114" s="163">
        <f t="shared" si="61"/>
        <v>1</v>
      </c>
      <c r="BA114" s="163">
        <f t="shared" si="62"/>
        <v>1</v>
      </c>
      <c r="BB114" s="163">
        <f t="shared" si="63"/>
        <v>0</v>
      </c>
      <c r="BC114" s="163">
        <f t="shared" si="64"/>
        <v>1</v>
      </c>
      <c r="BD114" s="163">
        <f t="shared" si="65"/>
        <v>4</v>
      </c>
      <c r="BE114" s="163" t="s">
        <v>148</v>
      </c>
      <c r="BF114" s="162" t="s">
        <v>1426</v>
      </c>
    </row>
    <row r="115" spans="1:58">
      <c r="A115" s="159">
        <f t="shared" si="75"/>
        <v>37</v>
      </c>
      <c r="B115" s="159">
        <f t="shared" si="76"/>
        <v>2</v>
      </c>
      <c r="C115" s="190" t="str">
        <f t="shared" si="38"/>
        <v>3702</v>
      </c>
      <c r="D115" s="159" t="s">
        <v>480</v>
      </c>
      <c r="E115" s="192">
        <v>2015</v>
      </c>
      <c r="F115" s="162" t="s">
        <v>1958</v>
      </c>
      <c r="G115" s="162" t="s">
        <v>482</v>
      </c>
      <c r="H115" s="163" t="str">
        <f t="shared" si="67"/>
        <v>LM</v>
      </c>
      <c r="I115" s="163" t="s">
        <v>157</v>
      </c>
      <c r="J115" s="162" t="s">
        <v>183</v>
      </c>
      <c r="K115" s="162" t="s">
        <v>151</v>
      </c>
      <c r="L115" s="162" t="s">
        <v>352</v>
      </c>
      <c r="M115" s="162" t="s">
        <v>2013</v>
      </c>
      <c r="N115" s="163" t="s">
        <v>157</v>
      </c>
      <c r="O115" s="162" t="s">
        <v>153</v>
      </c>
      <c r="P115" s="162" t="s">
        <v>154</v>
      </c>
      <c r="Q115" s="162" t="s">
        <v>155</v>
      </c>
      <c r="R115" s="163">
        <v>2009</v>
      </c>
      <c r="S115" s="194">
        <v>14.85</v>
      </c>
      <c r="T115" s="194">
        <f>IF(ISNUMBER(S115),S115/VLOOKUP($Q115,xRates!$A$1:$AA$267,studies!$R115-xRates!$B$1+2,FALSE),S115)</f>
        <v>14.85</v>
      </c>
      <c r="V115" s="194"/>
      <c r="W115" s="163" t="s">
        <v>157</v>
      </c>
      <c r="X115" s="163" t="s">
        <v>157</v>
      </c>
      <c r="Y115" s="163" t="s">
        <v>148</v>
      </c>
      <c r="Z115" s="163" t="s">
        <v>148</v>
      </c>
      <c r="AA115" s="163" t="s">
        <v>148</v>
      </c>
      <c r="AB115" s="163" t="s">
        <v>247</v>
      </c>
      <c r="AC115" s="196">
        <v>1920</v>
      </c>
      <c r="AD115" s="196">
        <v>1920</v>
      </c>
      <c r="AE115" s="192" t="str">
        <f t="shared" si="49"/>
        <v>No</v>
      </c>
      <c r="AF115" s="196">
        <f t="shared" si="68"/>
        <v>3626.8186369999999</v>
      </c>
      <c r="AG115" s="159" t="str">
        <f t="shared" si="50"/>
        <v>Cost-effective</v>
      </c>
      <c r="AH115" s="159" t="str">
        <f t="shared" si="51"/>
        <v>Cost-effective</v>
      </c>
      <c r="AI115" s="198">
        <f t="shared" si="52"/>
        <v>0.52938958138479431</v>
      </c>
      <c r="AJ115" s="198">
        <f t="shared" si="69"/>
        <v>1.42</v>
      </c>
      <c r="AK115" s="159" t="str">
        <f t="shared" si="53"/>
        <v>Cost-effective</v>
      </c>
      <c r="AL115" s="198">
        <f t="shared" si="70"/>
        <v>0.83</v>
      </c>
      <c r="AM115" s="162" t="str">
        <f t="shared" si="54"/>
        <v>Cost-effective</v>
      </c>
      <c r="AN115" s="198">
        <f t="shared" si="71"/>
        <v>0.36702186686280114</v>
      </c>
      <c r="AO115" s="159" t="str">
        <f t="shared" si="55"/>
        <v>Not cost-effective</v>
      </c>
      <c r="AP115" s="198">
        <f t="shared" si="72"/>
        <v>8.1522984654243125E-2</v>
      </c>
      <c r="AQ115" s="159" t="str">
        <f t="shared" si="56"/>
        <v>Not cost-effective</v>
      </c>
      <c r="AR115" s="198">
        <f t="shared" si="73"/>
        <v>1.1990418097854487</v>
      </c>
      <c r="AS115" s="159" t="str">
        <f t="shared" si="57"/>
        <v>Cost-effective</v>
      </c>
      <c r="AT115" s="198">
        <f t="shared" si="74"/>
        <v>0.49693704267921418</v>
      </c>
      <c r="AU115" s="159" t="str">
        <f t="shared" si="58"/>
        <v>Not cost-effective</v>
      </c>
      <c r="AV115" s="162" t="s">
        <v>173</v>
      </c>
      <c r="AW115" s="162" t="s">
        <v>1995</v>
      </c>
      <c r="AX115" s="168">
        <f t="shared" si="59"/>
        <v>0</v>
      </c>
      <c r="AY115" s="168">
        <f t="shared" si="60"/>
        <v>0</v>
      </c>
      <c r="AZ115" s="163">
        <f t="shared" si="61"/>
        <v>1</v>
      </c>
      <c r="BA115" s="163">
        <f t="shared" si="62"/>
        <v>1</v>
      </c>
      <c r="BB115" s="163">
        <f t="shared" si="63"/>
        <v>0</v>
      </c>
      <c r="BC115" s="163">
        <f t="shared" si="64"/>
        <v>1</v>
      </c>
      <c r="BD115" s="163">
        <f t="shared" si="65"/>
        <v>3</v>
      </c>
      <c r="BE115" s="163" t="s">
        <v>148</v>
      </c>
      <c r="BF115" s="162" t="s">
        <v>1426</v>
      </c>
    </row>
    <row r="116" spans="1:58">
      <c r="A116" s="159">
        <f t="shared" si="75"/>
        <v>37</v>
      </c>
      <c r="B116" s="159">
        <f t="shared" si="76"/>
        <v>3</v>
      </c>
      <c r="C116" s="190" t="str">
        <f t="shared" si="38"/>
        <v>3703</v>
      </c>
      <c r="D116" s="159" t="s">
        <v>480</v>
      </c>
      <c r="E116" s="192">
        <v>2015</v>
      </c>
      <c r="F116" s="162" t="s">
        <v>1958</v>
      </c>
      <c r="G116" s="162" t="s">
        <v>482</v>
      </c>
      <c r="H116" s="163" t="str">
        <f t="shared" si="67"/>
        <v>LM</v>
      </c>
      <c r="I116" s="163" t="s">
        <v>157</v>
      </c>
      <c r="J116" s="162" t="s">
        <v>186</v>
      </c>
      <c r="K116" s="162" t="s">
        <v>151</v>
      </c>
      <c r="L116" s="162" t="s">
        <v>353</v>
      </c>
      <c r="M116" s="162" t="s">
        <v>2013</v>
      </c>
      <c r="N116" s="163" t="s">
        <v>148</v>
      </c>
      <c r="O116" s="162" t="s">
        <v>1979</v>
      </c>
      <c r="P116" s="162" t="s">
        <v>154</v>
      </c>
      <c r="Q116" s="162" t="s">
        <v>155</v>
      </c>
      <c r="R116" s="163">
        <v>2009</v>
      </c>
      <c r="S116" s="194">
        <v>20</v>
      </c>
      <c r="T116" s="194">
        <f>IF(ISNUMBER(S116),S116/VLOOKUP($Q116,xRates!$A$1:$AA$267,studies!$R116-xRates!$B$1+2,FALSE),S116)</f>
        <v>20</v>
      </c>
      <c r="V116" s="194"/>
      <c r="W116" s="163" t="s">
        <v>157</v>
      </c>
      <c r="X116" s="163" t="s">
        <v>157</v>
      </c>
      <c r="Y116" s="163" t="s">
        <v>148</v>
      </c>
      <c r="Z116" s="163" t="s">
        <v>148</v>
      </c>
      <c r="AA116" s="163" t="s">
        <v>148</v>
      </c>
      <c r="AB116" s="163" t="s">
        <v>247</v>
      </c>
      <c r="AC116" s="196">
        <v>4901</v>
      </c>
      <c r="AD116" s="196">
        <v>4901</v>
      </c>
      <c r="AE116" s="192" t="str">
        <f t="shared" si="49"/>
        <v>No</v>
      </c>
      <c r="AF116" s="196">
        <f t="shared" si="68"/>
        <v>3626.8186369999999</v>
      </c>
      <c r="AG116" s="159" t="str">
        <f t="shared" si="50"/>
        <v>Not cost-effective</v>
      </c>
      <c r="AH116" s="159" t="str">
        <f t="shared" si="51"/>
        <v>Cost-effective</v>
      </c>
      <c r="AI116" s="198">
        <f t="shared" si="52"/>
        <v>1.3513220512327482</v>
      </c>
      <c r="AJ116" s="198">
        <f t="shared" si="69"/>
        <v>1.42</v>
      </c>
      <c r="AK116" s="159" t="str">
        <f t="shared" si="53"/>
        <v>Cost-effective</v>
      </c>
      <c r="AL116" s="198">
        <f t="shared" si="70"/>
        <v>0.83</v>
      </c>
      <c r="AM116" s="162" t="str">
        <f t="shared" si="54"/>
        <v>Not cost-effective</v>
      </c>
      <c r="AN116" s="198">
        <f t="shared" si="71"/>
        <v>0.36702186686280114</v>
      </c>
      <c r="AO116" s="159" t="str">
        <f t="shared" si="55"/>
        <v>Not cost-effective</v>
      </c>
      <c r="AP116" s="198">
        <f t="shared" si="72"/>
        <v>8.1522984654243125E-2</v>
      </c>
      <c r="AQ116" s="159" t="str">
        <f t="shared" si="56"/>
        <v>Not cost-effective</v>
      </c>
      <c r="AR116" s="198">
        <f t="shared" si="73"/>
        <v>1.1990418097854487</v>
      </c>
      <c r="AS116" s="159" t="str">
        <f t="shared" si="57"/>
        <v>Not cost-effective</v>
      </c>
      <c r="AT116" s="198">
        <f t="shared" si="74"/>
        <v>0.49693704267921418</v>
      </c>
      <c r="AU116" s="159" t="str">
        <f t="shared" si="58"/>
        <v>Not cost-effective</v>
      </c>
      <c r="AV116" s="162" t="s">
        <v>173</v>
      </c>
      <c r="AW116" s="162" t="s">
        <v>1995</v>
      </c>
      <c r="AX116" s="168">
        <f t="shared" si="59"/>
        <v>0</v>
      </c>
      <c r="AY116" s="168">
        <f t="shared" si="60"/>
        <v>1</v>
      </c>
      <c r="AZ116" s="163">
        <f t="shared" si="61"/>
        <v>1</v>
      </c>
      <c r="BA116" s="163">
        <f t="shared" si="62"/>
        <v>1</v>
      </c>
      <c r="BB116" s="163">
        <f t="shared" si="63"/>
        <v>1</v>
      </c>
      <c r="BC116" s="163">
        <f t="shared" si="64"/>
        <v>1</v>
      </c>
      <c r="BD116" s="163">
        <f t="shared" si="65"/>
        <v>5</v>
      </c>
      <c r="BE116" s="163" t="s">
        <v>148</v>
      </c>
      <c r="BF116" s="162" t="s">
        <v>1426</v>
      </c>
    </row>
    <row r="117" spans="1:58">
      <c r="A117" s="159">
        <f t="shared" si="75"/>
        <v>37</v>
      </c>
      <c r="B117" s="159">
        <f t="shared" si="76"/>
        <v>4</v>
      </c>
      <c r="C117" s="190" t="str">
        <f t="shared" si="38"/>
        <v>3704</v>
      </c>
      <c r="D117" s="159" t="s">
        <v>480</v>
      </c>
      <c r="E117" s="192">
        <v>2015</v>
      </c>
      <c r="F117" s="162" t="s">
        <v>1958</v>
      </c>
      <c r="G117" s="162" t="s">
        <v>482</v>
      </c>
      <c r="H117" s="163" t="str">
        <f t="shared" si="67"/>
        <v>LM</v>
      </c>
      <c r="I117" s="163" t="s">
        <v>157</v>
      </c>
      <c r="J117" s="162" t="s">
        <v>186</v>
      </c>
      <c r="K117" s="162" t="s">
        <v>151</v>
      </c>
      <c r="L117" s="162" t="s">
        <v>353</v>
      </c>
      <c r="M117" s="162" t="s">
        <v>2013</v>
      </c>
      <c r="N117" s="163" t="s">
        <v>157</v>
      </c>
      <c r="O117" s="162" t="s">
        <v>153</v>
      </c>
      <c r="P117" s="162" t="s">
        <v>154</v>
      </c>
      <c r="Q117" s="162" t="s">
        <v>155</v>
      </c>
      <c r="R117" s="163">
        <v>2009</v>
      </c>
      <c r="S117" s="194">
        <v>20</v>
      </c>
      <c r="T117" s="194">
        <f>IF(ISNUMBER(S117),S117/VLOOKUP($Q117,xRates!$A$1:$AA$267,studies!$R117-xRates!$B$1+2,FALSE),S117)</f>
        <v>20</v>
      </c>
      <c r="V117" s="194"/>
      <c r="W117" s="163" t="s">
        <v>157</v>
      </c>
      <c r="X117" s="163" t="s">
        <v>157</v>
      </c>
      <c r="Y117" s="163" t="s">
        <v>148</v>
      </c>
      <c r="Z117" s="163" t="s">
        <v>148</v>
      </c>
      <c r="AA117" s="163" t="s">
        <v>148</v>
      </c>
      <c r="AB117" s="163" t="s">
        <v>247</v>
      </c>
      <c r="AC117" s="196">
        <v>3657</v>
      </c>
      <c r="AD117" s="196">
        <v>3657</v>
      </c>
      <c r="AE117" s="192" t="str">
        <f t="shared" si="49"/>
        <v>No</v>
      </c>
      <c r="AF117" s="196">
        <f t="shared" si="68"/>
        <v>3626.8186369999999</v>
      </c>
      <c r="AG117" s="159" t="str">
        <f t="shared" si="50"/>
        <v>Not cost-effective</v>
      </c>
      <c r="AH117" s="159" t="str">
        <f t="shared" si="51"/>
        <v>Cost-effective</v>
      </c>
      <c r="AI117" s="198">
        <f t="shared" si="52"/>
        <v>1.0083217182938502</v>
      </c>
      <c r="AJ117" s="198">
        <f t="shared" si="69"/>
        <v>1.42</v>
      </c>
      <c r="AK117" s="159" t="str">
        <f t="shared" si="53"/>
        <v>Cost-effective</v>
      </c>
      <c r="AL117" s="198">
        <f t="shared" si="70"/>
        <v>0.83</v>
      </c>
      <c r="AM117" s="162" t="str">
        <f t="shared" si="54"/>
        <v>Not cost-effective</v>
      </c>
      <c r="AN117" s="198">
        <f t="shared" si="71"/>
        <v>0.36702186686280114</v>
      </c>
      <c r="AO117" s="159" t="str">
        <f t="shared" si="55"/>
        <v>Not cost-effective</v>
      </c>
      <c r="AP117" s="198">
        <f t="shared" si="72"/>
        <v>8.1522984654243125E-2</v>
      </c>
      <c r="AQ117" s="159" t="str">
        <f t="shared" si="56"/>
        <v>Not cost-effective</v>
      </c>
      <c r="AR117" s="198">
        <f t="shared" si="73"/>
        <v>1.1990418097854487</v>
      </c>
      <c r="AS117" s="159" t="str">
        <f t="shared" si="57"/>
        <v>Cost-effective</v>
      </c>
      <c r="AT117" s="198">
        <f t="shared" si="74"/>
        <v>0.49693704267921418</v>
      </c>
      <c r="AU117" s="159" t="str">
        <f t="shared" si="58"/>
        <v>Not cost-effective</v>
      </c>
      <c r="AV117" s="162" t="s">
        <v>173</v>
      </c>
      <c r="AW117" s="162" t="s">
        <v>1995</v>
      </c>
      <c r="AX117" s="168">
        <f t="shared" si="59"/>
        <v>0</v>
      </c>
      <c r="AY117" s="168">
        <f t="shared" si="60"/>
        <v>1</v>
      </c>
      <c r="AZ117" s="163">
        <f t="shared" si="61"/>
        <v>1</v>
      </c>
      <c r="BA117" s="163">
        <f t="shared" si="62"/>
        <v>1</v>
      </c>
      <c r="BB117" s="163">
        <f t="shared" si="63"/>
        <v>0</v>
      </c>
      <c r="BC117" s="163">
        <f t="shared" si="64"/>
        <v>1</v>
      </c>
      <c r="BD117" s="163">
        <f t="shared" si="65"/>
        <v>4</v>
      </c>
      <c r="BE117" s="163" t="s">
        <v>148</v>
      </c>
      <c r="BF117" s="162" t="s">
        <v>1426</v>
      </c>
    </row>
    <row r="118" spans="1:58">
      <c r="A118" s="159">
        <f t="shared" si="75"/>
        <v>37</v>
      </c>
      <c r="B118" s="159">
        <f t="shared" si="76"/>
        <v>5</v>
      </c>
      <c r="C118" s="190" t="str">
        <f t="shared" si="38"/>
        <v>3705</v>
      </c>
      <c r="D118" s="159" t="s">
        <v>480</v>
      </c>
      <c r="E118" s="192">
        <v>2015</v>
      </c>
      <c r="F118" s="162" t="s">
        <v>1958</v>
      </c>
      <c r="G118" s="162" t="s">
        <v>482</v>
      </c>
      <c r="H118" s="163" t="str">
        <f t="shared" si="67"/>
        <v>LM</v>
      </c>
      <c r="I118" s="163" t="s">
        <v>157</v>
      </c>
      <c r="J118" s="162" t="s">
        <v>186</v>
      </c>
      <c r="K118" s="162" t="s">
        <v>183</v>
      </c>
      <c r="L118" s="162" t="s">
        <v>371</v>
      </c>
      <c r="M118" s="162" t="s">
        <v>2013</v>
      </c>
      <c r="N118" s="163" t="s">
        <v>148</v>
      </c>
      <c r="O118" s="162" t="s">
        <v>1979</v>
      </c>
      <c r="P118" s="162" t="s">
        <v>154</v>
      </c>
      <c r="Q118" s="162" t="s">
        <v>155</v>
      </c>
      <c r="R118" s="163">
        <v>2009</v>
      </c>
      <c r="S118" s="194">
        <v>20</v>
      </c>
      <c r="T118" s="194">
        <f>IF(ISNUMBER(S118),S118/VLOOKUP($Q118,xRates!$A$1:$AA$267,studies!$R118-xRates!$B$1+2,FALSE),S118)</f>
        <v>20</v>
      </c>
      <c r="U118" s="163">
        <v>14.85</v>
      </c>
      <c r="V118" s="194">
        <v>14.85</v>
      </c>
      <c r="W118" s="163" t="s">
        <v>157</v>
      </c>
      <c r="X118" s="163" t="s">
        <v>157</v>
      </c>
      <c r="Y118" s="163" t="s">
        <v>148</v>
      </c>
      <c r="Z118" s="163" t="s">
        <v>148</v>
      </c>
      <c r="AA118" s="163" t="s">
        <v>148</v>
      </c>
      <c r="AB118" s="163" t="s">
        <v>247</v>
      </c>
      <c r="AC118" s="196">
        <v>12181</v>
      </c>
      <c r="AD118" s="196">
        <v>12181</v>
      </c>
      <c r="AE118" s="192" t="str">
        <f t="shared" si="49"/>
        <v>No</v>
      </c>
      <c r="AF118" s="196">
        <f t="shared" si="68"/>
        <v>3626.8186369999999</v>
      </c>
      <c r="AG118" s="159" t="str">
        <f t="shared" si="50"/>
        <v>Not cost-effective</v>
      </c>
      <c r="AH118" s="159" t="str">
        <f t="shared" si="51"/>
        <v>Not cost-effective</v>
      </c>
      <c r="AI118" s="198">
        <f t="shared" si="52"/>
        <v>3.3585908806500933</v>
      </c>
      <c r="AJ118" s="198">
        <f t="shared" si="69"/>
        <v>1.42</v>
      </c>
      <c r="AK118" s="159" t="str">
        <f t="shared" si="53"/>
        <v>Not cost-effective</v>
      </c>
      <c r="AL118" s="198">
        <f t="shared" si="70"/>
        <v>0.83</v>
      </c>
      <c r="AM118" s="162" t="str">
        <f t="shared" si="54"/>
        <v>Not cost-effective</v>
      </c>
      <c r="AN118" s="198">
        <f t="shared" si="71"/>
        <v>0.36702186686280114</v>
      </c>
      <c r="AO118" s="159" t="str">
        <f t="shared" si="55"/>
        <v>Not cost-effective</v>
      </c>
      <c r="AP118" s="198">
        <f t="shared" si="72"/>
        <v>8.1522984654243125E-2</v>
      </c>
      <c r="AQ118" s="159" t="str">
        <f t="shared" si="56"/>
        <v>Not cost-effective</v>
      </c>
      <c r="AR118" s="198">
        <f t="shared" si="73"/>
        <v>1.1990418097854487</v>
      </c>
      <c r="AS118" s="159" t="str">
        <f t="shared" si="57"/>
        <v>Not cost-effective</v>
      </c>
      <c r="AT118" s="198">
        <f t="shared" si="74"/>
        <v>0.49693704267921418</v>
      </c>
      <c r="AU118" s="159" t="str">
        <f t="shared" si="58"/>
        <v>Not cost-effective</v>
      </c>
      <c r="AV118" s="162" t="s">
        <v>173</v>
      </c>
      <c r="AW118" s="162" t="s">
        <v>1993</v>
      </c>
      <c r="AX118" s="168" t="str">
        <f t="shared" si="59"/>
        <v/>
      </c>
      <c r="AY118" s="168" t="str">
        <f t="shared" si="60"/>
        <v/>
      </c>
      <c r="AZ118" s="163" t="str">
        <f t="shared" si="61"/>
        <v/>
      </c>
      <c r="BA118" s="163" t="str">
        <f t="shared" si="62"/>
        <v/>
      </c>
      <c r="BB118" s="163" t="str">
        <f t="shared" si="63"/>
        <v/>
      </c>
      <c r="BC118" s="163" t="str">
        <f t="shared" si="64"/>
        <v/>
      </c>
      <c r="BD118" s="163">
        <f t="shared" si="65"/>
        <v>0</v>
      </c>
      <c r="BE118" s="163" t="s">
        <v>148</v>
      </c>
      <c r="BF118" s="162" t="s">
        <v>1426</v>
      </c>
    </row>
    <row r="119" spans="1:58">
      <c r="A119" s="159">
        <f t="shared" si="75"/>
        <v>37</v>
      </c>
      <c r="B119" s="159">
        <f t="shared" si="76"/>
        <v>6</v>
      </c>
      <c r="C119" s="190" t="str">
        <f t="shared" si="38"/>
        <v>3706</v>
      </c>
      <c r="D119" s="159" t="s">
        <v>480</v>
      </c>
      <c r="E119" s="192">
        <v>2015</v>
      </c>
      <c r="F119" s="162" t="s">
        <v>1958</v>
      </c>
      <c r="G119" s="162" t="s">
        <v>482</v>
      </c>
      <c r="H119" s="163" t="str">
        <f t="shared" si="67"/>
        <v>LM</v>
      </c>
      <c r="I119" s="163" t="s">
        <v>157</v>
      </c>
      <c r="J119" s="162" t="s">
        <v>186</v>
      </c>
      <c r="K119" s="162" t="s">
        <v>183</v>
      </c>
      <c r="L119" s="162" t="s">
        <v>371</v>
      </c>
      <c r="M119" s="162" t="s">
        <v>2013</v>
      </c>
      <c r="N119" s="163" t="s">
        <v>157</v>
      </c>
      <c r="O119" s="162" t="s">
        <v>153</v>
      </c>
      <c r="P119" s="162" t="s">
        <v>154</v>
      </c>
      <c r="Q119" s="162" t="s">
        <v>155</v>
      </c>
      <c r="R119" s="163">
        <v>2009</v>
      </c>
      <c r="S119" s="194">
        <v>20</v>
      </c>
      <c r="T119" s="194">
        <f>IF(ISNUMBER(S119),S119/VLOOKUP($Q119,xRates!$A$1:$AA$267,studies!$R119-xRates!$B$1+2,FALSE),S119)</f>
        <v>20</v>
      </c>
      <c r="U119" s="163">
        <v>14.85</v>
      </c>
      <c r="V119" s="194">
        <v>14.85</v>
      </c>
      <c r="W119" s="163" t="s">
        <v>157</v>
      </c>
      <c r="X119" s="163" t="s">
        <v>157</v>
      </c>
      <c r="Y119" s="163" t="s">
        <v>148</v>
      </c>
      <c r="Z119" s="163" t="s">
        <v>148</v>
      </c>
      <c r="AA119" s="163" t="s">
        <v>148</v>
      </c>
      <c r="AB119" s="163" t="s">
        <v>247</v>
      </c>
      <c r="AC119" s="196">
        <v>3851</v>
      </c>
      <c r="AD119" s="196">
        <v>3851</v>
      </c>
      <c r="AE119" s="192" t="str">
        <f t="shared" si="49"/>
        <v>No</v>
      </c>
      <c r="AF119" s="196">
        <f t="shared" si="68"/>
        <v>3626.8186369999999</v>
      </c>
      <c r="AG119" s="159" t="str">
        <f t="shared" si="50"/>
        <v>Not cost-effective</v>
      </c>
      <c r="AH119" s="159" t="str">
        <f t="shared" si="51"/>
        <v>Cost-effective</v>
      </c>
      <c r="AI119" s="198">
        <f t="shared" si="52"/>
        <v>1.061812123912939</v>
      </c>
      <c r="AJ119" s="198">
        <f t="shared" si="69"/>
        <v>1.42</v>
      </c>
      <c r="AK119" s="159" t="str">
        <f t="shared" si="53"/>
        <v>Cost-effective</v>
      </c>
      <c r="AL119" s="198">
        <f t="shared" si="70"/>
        <v>0.83</v>
      </c>
      <c r="AM119" s="162" t="str">
        <f t="shared" si="54"/>
        <v>Not cost-effective</v>
      </c>
      <c r="AN119" s="198">
        <f t="shared" si="71"/>
        <v>0.36702186686280114</v>
      </c>
      <c r="AO119" s="159" t="str">
        <f t="shared" si="55"/>
        <v>Not cost-effective</v>
      </c>
      <c r="AP119" s="198">
        <f t="shared" si="72"/>
        <v>8.1522984654243125E-2</v>
      </c>
      <c r="AQ119" s="159" t="str">
        <f t="shared" si="56"/>
        <v>Not cost-effective</v>
      </c>
      <c r="AR119" s="198">
        <f t="shared" si="73"/>
        <v>1.1990418097854487</v>
      </c>
      <c r="AS119" s="159" t="str">
        <f t="shared" si="57"/>
        <v>Cost-effective</v>
      </c>
      <c r="AT119" s="198">
        <f t="shared" si="74"/>
        <v>0.49693704267921418</v>
      </c>
      <c r="AU119" s="159" t="str">
        <f t="shared" si="58"/>
        <v>Not cost-effective</v>
      </c>
      <c r="AV119" s="162" t="s">
        <v>173</v>
      </c>
      <c r="AW119" s="162" t="s">
        <v>1995</v>
      </c>
      <c r="AX119" s="168">
        <f t="shared" si="59"/>
        <v>0</v>
      </c>
      <c r="AY119" s="168">
        <f t="shared" si="60"/>
        <v>1</v>
      </c>
      <c r="AZ119" s="163">
        <f t="shared" si="61"/>
        <v>1</v>
      </c>
      <c r="BA119" s="163">
        <f t="shared" si="62"/>
        <v>1</v>
      </c>
      <c r="BB119" s="163">
        <f t="shared" si="63"/>
        <v>0</v>
      </c>
      <c r="BC119" s="163">
        <f t="shared" si="64"/>
        <v>1</v>
      </c>
      <c r="BD119" s="163">
        <f t="shared" si="65"/>
        <v>4</v>
      </c>
      <c r="BE119" s="163" t="s">
        <v>148</v>
      </c>
      <c r="BF119" s="162" t="s">
        <v>1426</v>
      </c>
    </row>
    <row r="120" spans="1:58">
      <c r="A120" s="159">
        <f t="shared" si="75"/>
        <v>38</v>
      </c>
      <c r="B120" s="159">
        <f t="shared" si="76"/>
        <v>1</v>
      </c>
      <c r="C120" s="190" t="str">
        <f t="shared" si="38"/>
        <v>3801</v>
      </c>
      <c r="D120" s="159" t="s">
        <v>492</v>
      </c>
      <c r="E120" s="192">
        <v>2015</v>
      </c>
      <c r="F120" s="162" t="s">
        <v>1959</v>
      </c>
      <c r="G120" s="162" t="s">
        <v>494</v>
      </c>
      <c r="H120" s="163" t="str">
        <f t="shared" si="67"/>
        <v>LM</v>
      </c>
      <c r="I120" s="163" t="s">
        <v>157</v>
      </c>
      <c r="J120" s="162" t="s">
        <v>183</v>
      </c>
      <c r="K120" s="162" t="s">
        <v>151</v>
      </c>
      <c r="L120" s="162" t="s">
        <v>352</v>
      </c>
      <c r="M120" s="162" t="s">
        <v>2013</v>
      </c>
      <c r="N120" s="163" t="s">
        <v>148</v>
      </c>
      <c r="O120" s="162" t="s">
        <v>1979</v>
      </c>
      <c r="P120" s="162" t="s">
        <v>154</v>
      </c>
      <c r="Q120" s="162" t="s">
        <v>155</v>
      </c>
      <c r="R120" s="163">
        <v>2012</v>
      </c>
      <c r="S120" s="194">
        <v>3.5</v>
      </c>
      <c r="T120" s="194">
        <f>IF(ISNUMBER(S120),S120/VLOOKUP($Q120,xRates!$A$1:$AA$267,studies!$R120-xRates!$B$1+2,FALSE),S120)</f>
        <v>3.5</v>
      </c>
      <c r="V120" s="194"/>
      <c r="W120" s="163" t="s">
        <v>148</v>
      </c>
      <c r="X120" s="163" t="s">
        <v>148</v>
      </c>
      <c r="Y120" s="163" t="s">
        <v>148</v>
      </c>
      <c r="Z120" s="163" t="s">
        <v>148</v>
      </c>
      <c r="AA120" s="163" t="s">
        <v>148</v>
      </c>
      <c r="AB120" s="163" t="s">
        <v>247</v>
      </c>
      <c r="AC120" s="196">
        <v>1599</v>
      </c>
      <c r="AD120" s="196">
        <v>1599</v>
      </c>
      <c r="AE120" s="192" t="str">
        <f t="shared" si="49"/>
        <v>No</v>
      </c>
      <c r="AF120" s="196">
        <f t="shared" si="68"/>
        <v>4421.8182420000003</v>
      </c>
      <c r="AG120" s="159" t="str">
        <f t="shared" si="50"/>
        <v>Cost-effective</v>
      </c>
      <c r="AH120" s="159" t="str">
        <f t="shared" si="51"/>
        <v>Cost-effective</v>
      </c>
      <c r="AI120" s="198">
        <f t="shared" si="52"/>
        <v>0.36161594902570399</v>
      </c>
      <c r="AJ120" s="198">
        <f t="shared" si="69"/>
        <v>0.27</v>
      </c>
      <c r="AK120" s="159" t="str">
        <f t="shared" si="53"/>
        <v>Not cost-effective</v>
      </c>
      <c r="AL120" s="198">
        <f t="shared" si="70"/>
        <v>0.2</v>
      </c>
      <c r="AM120" s="162" t="str">
        <f t="shared" si="54"/>
        <v>Not cost-effective</v>
      </c>
      <c r="AN120" s="198">
        <f t="shared" si="71"/>
        <v>0.40010850728742287</v>
      </c>
      <c r="AO120" s="159" t="str">
        <f t="shared" si="55"/>
        <v>Cost-effective</v>
      </c>
      <c r="AP120" s="198">
        <f t="shared" si="72"/>
        <v>7.9156601982268524E-2</v>
      </c>
      <c r="AQ120" s="159" t="str">
        <f t="shared" si="56"/>
        <v>Not cost-effective</v>
      </c>
      <c r="AR120" s="198">
        <f t="shared" si="73"/>
        <v>1.0336349293026446</v>
      </c>
      <c r="AS120" s="159" t="str">
        <f t="shared" si="57"/>
        <v>Cost-effective</v>
      </c>
      <c r="AT120" s="198">
        <f t="shared" si="74"/>
        <v>0.42826883808832805</v>
      </c>
      <c r="AU120" s="159" t="str">
        <f t="shared" si="58"/>
        <v>Cost-effective</v>
      </c>
      <c r="AV120" s="162" t="s">
        <v>160</v>
      </c>
      <c r="AW120" s="162" t="s">
        <v>1995</v>
      </c>
      <c r="AX120" s="168">
        <f t="shared" si="59"/>
        <v>1</v>
      </c>
      <c r="AY120" s="168">
        <f t="shared" si="60"/>
        <v>1</v>
      </c>
      <c r="AZ120" s="163">
        <f t="shared" si="61"/>
        <v>0</v>
      </c>
      <c r="BA120" s="163">
        <f t="shared" si="62"/>
        <v>1</v>
      </c>
      <c r="BB120" s="163">
        <f t="shared" si="63"/>
        <v>0</v>
      </c>
      <c r="BC120" s="163">
        <f t="shared" si="64"/>
        <v>0</v>
      </c>
      <c r="BD120" s="163">
        <f t="shared" si="65"/>
        <v>3</v>
      </c>
      <c r="BE120" s="163" t="s">
        <v>157</v>
      </c>
      <c r="BF120" s="162" t="s">
        <v>1426</v>
      </c>
    </row>
    <row r="121" spans="1:58">
      <c r="A121" s="159">
        <f t="shared" si="75"/>
        <v>38</v>
      </c>
      <c r="B121" s="159">
        <f t="shared" si="76"/>
        <v>2</v>
      </c>
      <c r="C121" s="190" t="str">
        <f t="shared" si="38"/>
        <v>3802</v>
      </c>
      <c r="D121" s="159" t="s">
        <v>492</v>
      </c>
      <c r="E121" s="192">
        <v>2015</v>
      </c>
      <c r="F121" s="162" t="s">
        <v>1959</v>
      </c>
      <c r="G121" s="162" t="s">
        <v>494</v>
      </c>
      <c r="H121" s="163" t="str">
        <f t="shared" si="67"/>
        <v>LM</v>
      </c>
      <c r="I121" s="163" t="s">
        <v>157</v>
      </c>
      <c r="J121" s="162" t="s">
        <v>183</v>
      </c>
      <c r="K121" s="162" t="s">
        <v>151</v>
      </c>
      <c r="L121" s="162" t="s">
        <v>352</v>
      </c>
      <c r="M121" s="162" t="s">
        <v>2013</v>
      </c>
      <c r="N121" s="163" t="s">
        <v>148</v>
      </c>
      <c r="O121" s="162" t="s">
        <v>1979</v>
      </c>
      <c r="P121" s="162" t="s">
        <v>154</v>
      </c>
      <c r="Q121" s="162" t="s">
        <v>155</v>
      </c>
      <c r="R121" s="163">
        <v>2012</v>
      </c>
      <c r="S121" s="194">
        <v>3.5</v>
      </c>
      <c r="T121" s="194">
        <f>IF(ISNUMBER(S121),S121/VLOOKUP($Q121,xRates!$A$1:$AA$267,studies!$R121-xRates!$B$1+2,FALSE),S121)</f>
        <v>3.5</v>
      </c>
      <c r="V121" s="194"/>
      <c r="W121" s="163" t="s">
        <v>157</v>
      </c>
      <c r="X121" s="163" t="s">
        <v>148</v>
      </c>
      <c r="Y121" s="163" t="s">
        <v>148</v>
      </c>
      <c r="Z121" s="163" t="s">
        <v>148</v>
      </c>
      <c r="AA121" s="163" t="s">
        <v>148</v>
      </c>
      <c r="AB121" s="163" t="s">
        <v>159</v>
      </c>
      <c r="AC121" s="192">
        <v>2200</v>
      </c>
      <c r="AD121" s="192">
        <v>2200</v>
      </c>
      <c r="AE121" s="192" t="str">
        <f t="shared" si="49"/>
        <v>No</v>
      </c>
      <c r="AF121" s="192">
        <f t="shared" si="68"/>
        <v>4421.8182420000003</v>
      </c>
      <c r="AG121" s="159" t="str">
        <f t="shared" si="50"/>
        <v>Cost-effective</v>
      </c>
      <c r="AH121" s="159" t="str">
        <f t="shared" si="51"/>
        <v>Cost-effective</v>
      </c>
      <c r="AI121" s="198">
        <f t="shared" si="52"/>
        <v>0.49753288796532125</v>
      </c>
      <c r="AJ121" s="198">
        <f t="shared" si="69"/>
        <v>0.27</v>
      </c>
      <c r="AK121" s="159" t="str">
        <f t="shared" si="53"/>
        <v>Not cost-effective</v>
      </c>
      <c r="AL121" s="198">
        <f t="shared" si="70"/>
        <v>0.2</v>
      </c>
      <c r="AM121" s="162" t="str">
        <f t="shared" si="54"/>
        <v>Not cost-effective</v>
      </c>
      <c r="AN121" s="198">
        <f t="shared" si="71"/>
        <v>0.40010850728742287</v>
      </c>
      <c r="AO121" s="159" t="str">
        <f t="shared" si="55"/>
        <v>Not cost-effective</v>
      </c>
      <c r="AP121" s="198">
        <f t="shared" si="72"/>
        <v>7.9156601982268524E-2</v>
      </c>
      <c r="AQ121" s="159" t="str">
        <f t="shared" si="56"/>
        <v>Not cost-effective</v>
      </c>
      <c r="AR121" s="198">
        <f t="shared" si="73"/>
        <v>1.0336349293026446</v>
      </c>
      <c r="AS121" s="159" t="str">
        <f t="shared" si="57"/>
        <v>Cost-effective</v>
      </c>
      <c r="AT121" s="198">
        <f t="shared" si="74"/>
        <v>0.42826883808832805</v>
      </c>
      <c r="AU121" s="159" t="str">
        <f t="shared" si="58"/>
        <v>Not cost-effective</v>
      </c>
      <c r="AV121" s="162" t="s">
        <v>160</v>
      </c>
      <c r="AW121" s="162" t="s">
        <v>1995</v>
      </c>
      <c r="AX121" s="168">
        <f t="shared" si="59"/>
        <v>1</v>
      </c>
      <c r="AY121" s="168">
        <f t="shared" si="60"/>
        <v>1</v>
      </c>
      <c r="AZ121" s="163">
        <f t="shared" si="61"/>
        <v>1</v>
      </c>
      <c r="BA121" s="163">
        <f t="shared" si="62"/>
        <v>1</v>
      </c>
      <c r="BB121" s="163">
        <f t="shared" si="63"/>
        <v>0</v>
      </c>
      <c r="BC121" s="163">
        <f t="shared" si="64"/>
        <v>1</v>
      </c>
      <c r="BD121" s="163">
        <f t="shared" si="65"/>
        <v>5</v>
      </c>
      <c r="BE121" s="163" t="s">
        <v>157</v>
      </c>
      <c r="BF121" s="162" t="s">
        <v>1426</v>
      </c>
    </row>
    <row r="122" spans="1:58">
      <c r="A122" s="159">
        <f t="shared" si="75"/>
        <v>39</v>
      </c>
      <c r="B122" s="159">
        <f t="shared" si="76"/>
        <v>1</v>
      </c>
      <c r="C122" s="190" t="str">
        <f t="shared" si="38"/>
        <v>3901</v>
      </c>
      <c r="D122" s="159" t="s">
        <v>501</v>
      </c>
      <c r="E122" s="192">
        <v>2015</v>
      </c>
      <c r="F122" s="162" t="s">
        <v>1960</v>
      </c>
      <c r="G122" s="162" t="s">
        <v>421</v>
      </c>
      <c r="H122" s="163" t="str">
        <f t="shared" si="67"/>
        <v>UM</v>
      </c>
      <c r="I122" s="163" t="s">
        <v>157</v>
      </c>
      <c r="J122" s="162" t="s">
        <v>186</v>
      </c>
      <c r="K122" s="162" t="s">
        <v>151</v>
      </c>
      <c r="L122" s="162" t="s">
        <v>353</v>
      </c>
      <c r="M122" s="162" t="s">
        <v>2014</v>
      </c>
      <c r="N122" s="163" t="s">
        <v>148</v>
      </c>
      <c r="O122" s="162" t="s">
        <v>1979</v>
      </c>
      <c r="P122" s="162" t="s">
        <v>154</v>
      </c>
      <c r="Q122" s="162" t="s">
        <v>155</v>
      </c>
      <c r="R122" s="163">
        <v>2013</v>
      </c>
      <c r="S122" s="194">
        <v>15.68</v>
      </c>
      <c r="T122" s="194">
        <f>IF(ISNUMBER(S122),S122/VLOOKUP($Q122,xRates!$A$1:$AA$267,studies!$R122-xRates!$B$1+2,FALSE),S122)</f>
        <v>15.68</v>
      </c>
      <c r="V122" s="194"/>
      <c r="W122" s="163" t="s">
        <v>157</v>
      </c>
      <c r="X122" s="163" t="s">
        <v>157</v>
      </c>
      <c r="Y122" s="163" t="s">
        <v>148</v>
      </c>
      <c r="Z122" s="163" t="s">
        <v>148</v>
      </c>
      <c r="AA122" s="163" t="s">
        <v>148</v>
      </c>
      <c r="AB122" s="163" t="s">
        <v>469</v>
      </c>
      <c r="AC122" s="196">
        <v>489.26</v>
      </c>
      <c r="AD122" s="196">
        <v>489.26</v>
      </c>
      <c r="AE122" s="192" t="str">
        <f t="shared" si="49"/>
        <v>No</v>
      </c>
      <c r="AF122" s="196">
        <f t="shared" si="68"/>
        <v>8218.3478443147796</v>
      </c>
      <c r="AG122" s="159" t="str">
        <f t="shared" si="50"/>
        <v>Cost-effective</v>
      </c>
      <c r="AH122" s="159" t="str">
        <f t="shared" si="51"/>
        <v>Cost-effective</v>
      </c>
      <c r="AI122" s="198">
        <f t="shared" si="52"/>
        <v>5.9532646861431671E-2</v>
      </c>
      <c r="AJ122" s="198">
        <f t="shared" si="69"/>
        <v>1.89</v>
      </c>
      <c r="AK122" s="159" t="str">
        <f t="shared" si="53"/>
        <v>Cost-effective</v>
      </c>
      <c r="AL122" s="198">
        <f t="shared" si="70"/>
        <v>1.17</v>
      </c>
      <c r="AM122" s="162" t="str">
        <f t="shared" si="54"/>
        <v>Cost-effective</v>
      </c>
      <c r="AN122" s="198">
        <f t="shared" si="71"/>
        <v>0.67142448878179284</v>
      </c>
      <c r="AO122" s="159" t="str">
        <f t="shared" si="55"/>
        <v>Cost-effective</v>
      </c>
      <c r="AP122" s="198">
        <f t="shared" si="72"/>
        <v>0.16670017209696561</v>
      </c>
      <c r="AQ122" s="159" t="str">
        <f t="shared" si="56"/>
        <v>Cost-effective</v>
      </c>
      <c r="AR122" s="198">
        <f t="shared" si="73"/>
        <v>1.3237396338136047</v>
      </c>
      <c r="AS122" s="159" t="str">
        <f t="shared" si="57"/>
        <v>Cost-effective</v>
      </c>
      <c r="AT122" s="198">
        <f t="shared" si="74"/>
        <v>0.54863988350299309</v>
      </c>
      <c r="AU122" s="159" t="str">
        <f t="shared" si="58"/>
        <v>Cost-effective</v>
      </c>
      <c r="AV122" s="162" t="s">
        <v>160</v>
      </c>
      <c r="AW122" s="162" t="s">
        <v>1995</v>
      </c>
      <c r="AX122" s="168">
        <f t="shared" si="59"/>
        <v>0</v>
      </c>
      <c r="AY122" s="168">
        <f t="shared" si="60"/>
        <v>0</v>
      </c>
      <c r="AZ122" s="163">
        <f t="shared" si="61"/>
        <v>0</v>
      </c>
      <c r="BA122" s="163">
        <f t="shared" si="62"/>
        <v>0</v>
      </c>
      <c r="BB122" s="163">
        <f t="shared" si="63"/>
        <v>0</v>
      </c>
      <c r="BC122" s="163">
        <f t="shared" si="64"/>
        <v>0</v>
      </c>
      <c r="BD122" s="163">
        <f t="shared" si="65"/>
        <v>0</v>
      </c>
      <c r="BE122" s="163" t="s">
        <v>157</v>
      </c>
      <c r="BF122" s="162" t="s">
        <v>1425</v>
      </c>
    </row>
    <row r="123" spans="1:58">
      <c r="A123" s="159">
        <f t="shared" si="75"/>
        <v>39</v>
      </c>
      <c r="B123" s="159">
        <f t="shared" si="76"/>
        <v>2</v>
      </c>
      <c r="C123" s="190" t="str">
        <f t="shared" si="38"/>
        <v>3902</v>
      </c>
      <c r="D123" s="159" t="s">
        <v>501</v>
      </c>
      <c r="E123" s="192">
        <v>2015</v>
      </c>
      <c r="F123" s="162" t="s">
        <v>1960</v>
      </c>
      <c r="G123" s="162" t="s">
        <v>421</v>
      </c>
      <c r="H123" s="163" t="str">
        <f t="shared" si="67"/>
        <v>UM</v>
      </c>
      <c r="I123" s="163" t="s">
        <v>157</v>
      </c>
      <c r="J123" s="162" t="s">
        <v>183</v>
      </c>
      <c r="K123" s="162" t="s">
        <v>151</v>
      </c>
      <c r="L123" s="162" t="s">
        <v>352</v>
      </c>
      <c r="M123" s="162" t="s">
        <v>2014</v>
      </c>
      <c r="N123" s="163" t="s">
        <v>148</v>
      </c>
      <c r="O123" s="162" t="s">
        <v>1979</v>
      </c>
      <c r="P123" s="162" t="s">
        <v>154</v>
      </c>
      <c r="Q123" s="162" t="s">
        <v>155</v>
      </c>
      <c r="R123" s="163">
        <v>2013</v>
      </c>
      <c r="S123" s="194">
        <v>14.12</v>
      </c>
      <c r="T123" s="194">
        <f>IF(ISNUMBER(S123),S123/VLOOKUP($Q123,xRates!$A$1:$AA$267,studies!$R123-xRates!$B$1+2,FALSE),S123)</f>
        <v>14.12</v>
      </c>
      <c r="V123" s="194"/>
      <c r="W123" s="163" t="s">
        <v>157</v>
      </c>
      <c r="X123" s="163" t="s">
        <v>157</v>
      </c>
      <c r="Y123" s="163" t="s">
        <v>148</v>
      </c>
      <c r="Z123" s="163" t="s">
        <v>148</v>
      </c>
      <c r="AA123" s="163" t="s">
        <v>148</v>
      </c>
      <c r="AB123" s="163" t="s">
        <v>469</v>
      </c>
      <c r="AC123" s="196">
        <v>813.41</v>
      </c>
      <c r="AD123" s="196">
        <v>813.41</v>
      </c>
      <c r="AE123" s="192" t="str">
        <f t="shared" si="49"/>
        <v>No</v>
      </c>
      <c r="AF123" s="196">
        <f t="shared" si="68"/>
        <v>8218.3478443147796</v>
      </c>
      <c r="AG123" s="159" t="str">
        <f t="shared" si="50"/>
        <v>Cost-effective</v>
      </c>
      <c r="AH123" s="159" t="str">
        <f t="shared" si="51"/>
        <v>Cost-effective</v>
      </c>
      <c r="AI123" s="198">
        <f t="shared" si="52"/>
        <v>9.897488101123561E-2</v>
      </c>
      <c r="AJ123" s="198">
        <f t="shared" si="69"/>
        <v>1.89</v>
      </c>
      <c r="AK123" s="159" t="str">
        <f t="shared" si="53"/>
        <v>Cost-effective</v>
      </c>
      <c r="AL123" s="198">
        <f t="shared" si="70"/>
        <v>1.17</v>
      </c>
      <c r="AM123" s="162" t="str">
        <f t="shared" si="54"/>
        <v>Cost-effective</v>
      </c>
      <c r="AN123" s="198">
        <f t="shared" si="71"/>
        <v>0.67142448878179284</v>
      </c>
      <c r="AO123" s="159" t="str">
        <f t="shared" si="55"/>
        <v>Cost-effective</v>
      </c>
      <c r="AP123" s="198">
        <f t="shared" si="72"/>
        <v>0.16670017209696561</v>
      </c>
      <c r="AQ123" s="159" t="str">
        <f t="shared" si="56"/>
        <v>Cost-effective</v>
      </c>
      <c r="AR123" s="198">
        <f t="shared" si="73"/>
        <v>1.3237396338136047</v>
      </c>
      <c r="AS123" s="159" t="str">
        <f t="shared" si="57"/>
        <v>Cost-effective</v>
      </c>
      <c r="AT123" s="198">
        <f t="shared" si="74"/>
        <v>0.54863988350299309</v>
      </c>
      <c r="AU123" s="159" t="str">
        <f t="shared" si="58"/>
        <v>Cost-effective</v>
      </c>
      <c r="AV123" s="162" t="s">
        <v>160</v>
      </c>
      <c r="AW123" s="162" t="s">
        <v>1995</v>
      </c>
      <c r="AX123" s="168">
        <f t="shared" si="59"/>
        <v>0</v>
      </c>
      <c r="AY123" s="168">
        <f t="shared" si="60"/>
        <v>0</v>
      </c>
      <c r="AZ123" s="163">
        <f t="shared" si="61"/>
        <v>0</v>
      </c>
      <c r="BA123" s="163">
        <f t="shared" si="62"/>
        <v>0</v>
      </c>
      <c r="BB123" s="163">
        <f t="shared" si="63"/>
        <v>0</v>
      </c>
      <c r="BC123" s="163">
        <f t="shared" si="64"/>
        <v>0</v>
      </c>
      <c r="BD123" s="163">
        <f t="shared" si="65"/>
        <v>0</v>
      </c>
      <c r="BE123" s="163" t="s">
        <v>157</v>
      </c>
      <c r="BF123" s="162" t="s">
        <v>1425</v>
      </c>
    </row>
    <row r="124" spans="1:58" s="173" customFormat="1">
      <c r="A124" s="159">
        <f t="shared" si="75"/>
        <v>39</v>
      </c>
      <c r="B124" s="159">
        <f t="shared" si="76"/>
        <v>3</v>
      </c>
      <c r="C124" s="190" t="str">
        <f t="shared" si="38"/>
        <v>3903</v>
      </c>
      <c r="D124" s="171" t="s">
        <v>501</v>
      </c>
      <c r="E124" s="193">
        <v>2015</v>
      </c>
      <c r="F124" s="162" t="s">
        <v>1960</v>
      </c>
      <c r="G124" s="173" t="s">
        <v>421</v>
      </c>
      <c r="H124" s="174" t="str">
        <f t="shared" si="67"/>
        <v>UM</v>
      </c>
      <c r="I124" s="174" t="s">
        <v>157</v>
      </c>
      <c r="J124" s="173" t="s">
        <v>186</v>
      </c>
      <c r="K124" s="173" t="s">
        <v>183</v>
      </c>
      <c r="L124" s="162" t="s">
        <v>371</v>
      </c>
      <c r="M124" s="173" t="s">
        <v>2014</v>
      </c>
      <c r="N124" s="174" t="s">
        <v>148</v>
      </c>
      <c r="O124" s="175" t="s">
        <v>1979</v>
      </c>
      <c r="P124" s="173" t="s">
        <v>154</v>
      </c>
      <c r="Q124" s="173" t="s">
        <v>155</v>
      </c>
      <c r="R124" s="193">
        <v>2013</v>
      </c>
      <c r="S124" s="197">
        <v>15.68</v>
      </c>
      <c r="T124" s="197">
        <f>IF(ISNUMBER(S124),S124/VLOOKUP($Q124,xRates!$A$1:$AA$267,studies!$R124-xRates!$B$1+2,FALSE),S124)</f>
        <v>15.68</v>
      </c>
      <c r="U124" s="174">
        <v>14.12</v>
      </c>
      <c r="V124" s="197">
        <v>14.12</v>
      </c>
      <c r="W124" s="174" t="s">
        <v>157</v>
      </c>
      <c r="X124" s="174" t="s">
        <v>157</v>
      </c>
      <c r="Y124" s="174" t="s">
        <v>148</v>
      </c>
      <c r="Z124" s="174" t="s">
        <v>148</v>
      </c>
      <c r="AA124" s="174" t="s">
        <v>148</v>
      </c>
      <c r="AB124" s="163" t="s">
        <v>469</v>
      </c>
      <c r="AC124" s="193">
        <v>-417.53</v>
      </c>
      <c r="AD124" s="193">
        <f>AC124</f>
        <v>-417.53</v>
      </c>
      <c r="AE124" s="192" t="str">
        <f t="shared" si="49"/>
        <v>Yes</v>
      </c>
      <c r="AF124" s="193">
        <f t="shared" si="68"/>
        <v>8218.3478443147796</v>
      </c>
      <c r="AG124" s="159" t="str">
        <f t="shared" si="50"/>
        <v>Cost-saving</v>
      </c>
      <c r="AH124" s="159" t="str">
        <f t="shared" si="51"/>
        <v>Cost-saving</v>
      </c>
      <c r="AI124" s="198">
        <f t="shared" si="52"/>
        <v>-5.08046152230993E-2</v>
      </c>
      <c r="AJ124" s="198">
        <f t="shared" si="69"/>
        <v>1.89</v>
      </c>
      <c r="AK124" s="159" t="str">
        <f t="shared" si="53"/>
        <v>Cost-saving</v>
      </c>
      <c r="AL124" s="198">
        <f t="shared" si="70"/>
        <v>1.17</v>
      </c>
      <c r="AM124" s="162" t="str">
        <f t="shared" si="54"/>
        <v>Cost-saving</v>
      </c>
      <c r="AN124" s="198">
        <f t="shared" si="71"/>
        <v>0.67142448878179284</v>
      </c>
      <c r="AO124" s="159" t="str">
        <f t="shared" si="55"/>
        <v>Cost-saving</v>
      </c>
      <c r="AP124" s="198">
        <f t="shared" si="72"/>
        <v>0.16670017209696561</v>
      </c>
      <c r="AQ124" s="159" t="str">
        <f t="shared" si="56"/>
        <v>Cost-saving</v>
      </c>
      <c r="AR124" s="198">
        <f t="shared" si="73"/>
        <v>1.3237396338136047</v>
      </c>
      <c r="AS124" s="159" t="str">
        <f t="shared" si="57"/>
        <v>Cost-saving</v>
      </c>
      <c r="AT124" s="198">
        <f t="shared" si="74"/>
        <v>0.54863988350299309</v>
      </c>
      <c r="AU124" s="159" t="str">
        <f t="shared" si="58"/>
        <v>Cost-saving</v>
      </c>
      <c r="AV124" s="173" t="s">
        <v>210</v>
      </c>
      <c r="AW124" s="181" t="s">
        <v>1994</v>
      </c>
      <c r="AX124" s="168" t="str">
        <f t="shared" si="59"/>
        <v/>
      </c>
      <c r="AY124" s="168" t="str">
        <f t="shared" si="60"/>
        <v/>
      </c>
      <c r="AZ124" s="163" t="str">
        <f t="shared" si="61"/>
        <v/>
      </c>
      <c r="BA124" s="163" t="str">
        <f t="shared" si="62"/>
        <v/>
      </c>
      <c r="BB124" s="163" t="str">
        <f t="shared" si="63"/>
        <v/>
      </c>
      <c r="BC124" s="163" t="str">
        <f t="shared" si="64"/>
        <v/>
      </c>
      <c r="BD124" s="163">
        <f t="shared" si="65"/>
        <v>0</v>
      </c>
      <c r="BE124" s="174" t="s">
        <v>157</v>
      </c>
      <c r="BF124" s="162" t="s">
        <v>1425</v>
      </c>
    </row>
    <row r="125" spans="1:58">
      <c r="A125" s="159">
        <f t="shared" si="75"/>
        <v>40</v>
      </c>
      <c r="B125" s="159">
        <f t="shared" si="76"/>
        <v>1</v>
      </c>
      <c r="C125" s="190" t="str">
        <f t="shared" si="38"/>
        <v>4001</v>
      </c>
      <c r="D125" s="159" t="s">
        <v>506</v>
      </c>
      <c r="E125" s="192">
        <v>2010</v>
      </c>
      <c r="F125" s="162" t="s">
        <v>1961</v>
      </c>
      <c r="G125" s="162" t="s">
        <v>330</v>
      </c>
      <c r="H125" s="163" t="str">
        <f t="shared" si="67"/>
        <v>LM</v>
      </c>
      <c r="I125" s="163" t="s">
        <v>157</v>
      </c>
      <c r="J125" s="162" t="s">
        <v>183</v>
      </c>
      <c r="K125" s="162" t="s">
        <v>151</v>
      </c>
      <c r="L125" s="162" t="s">
        <v>352</v>
      </c>
      <c r="M125" s="162" t="s">
        <v>2013</v>
      </c>
      <c r="N125" s="163" t="s">
        <v>148</v>
      </c>
      <c r="O125" s="162" t="s">
        <v>153</v>
      </c>
      <c r="P125" s="162" t="s">
        <v>338</v>
      </c>
      <c r="Q125" s="162" t="s">
        <v>330</v>
      </c>
      <c r="R125" s="163">
        <v>2004</v>
      </c>
      <c r="S125" s="194">
        <v>31</v>
      </c>
      <c r="T125" s="194">
        <f>IF(ISNUMBER(S125),S125/VLOOKUP($Q125,xRates!$A$1:$AA$267,studies!$R125-xRates!$B$1+2,FALSE),S125)</f>
        <v>10.597857808894213</v>
      </c>
      <c r="V125" s="194"/>
      <c r="W125" s="163" t="s">
        <v>157</v>
      </c>
      <c r="X125" s="163" t="s">
        <v>157</v>
      </c>
      <c r="Y125" s="163" t="s">
        <v>148</v>
      </c>
      <c r="Z125" s="163" t="s">
        <v>148</v>
      </c>
      <c r="AA125" s="163" t="s">
        <v>148</v>
      </c>
      <c r="AB125" s="163" t="s">
        <v>247</v>
      </c>
      <c r="AC125" s="196">
        <v>22066</v>
      </c>
      <c r="AD125" s="196">
        <f>AC125/xRates!$J$28</f>
        <v>7543.6235616470876</v>
      </c>
      <c r="AE125" s="192" t="str">
        <f t="shared" si="49"/>
        <v>No</v>
      </c>
      <c r="AF125" s="196">
        <f t="shared" si="68"/>
        <v>3637.3138899999999</v>
      </c>
      <c r="AG125" s="159" t="str">
        <f t="shared" si="50"/>
        <v>Not cost-effective</v>
      </c>
      <c r="AH125" s="159" t="str">
        <f t="shared" si="51"/>
        <v>Cost-effective</v>
      </c>
      <c r="AI125" s="198">
        <f t="shared" si="52"/>
        <v>2.0739545141777929</v>
      </c>
      <c r="AJ125" s="198">
        <f t="shared" si="69"/>
        <v>1.0900000000000001</v>
      </c>
      <c r="AK125" s="159" t="str">
        <f t="shared" si="53"/>
        <v>Not cost-effective</v>
      </c>
      <c r="AL125" s="198">
        <f t="shared" si="70"/>
        <v>0.71</v>
      </c>
      <c r="AM125" s="162" t="str">
        <f t="shared" si="54"/>
        <v>Not cost-effective</v>
      </c>
      <c r="AN125" s="198">
        <f t="shared" si="71"/>
        <v>0.61331405073457201</v>
      </c>
      <c r="AO125" s="159" t="str">
        <f t="shared" si="55"/>
        <v>Not cost-effective</v>
      </c>
      <c r="AP125" s="198">
        <f t="shared" si="72"/>
        <v>0.19454672897770822</v>
      </c>
      <c r="AQ125" s="159" t="str">
        <f t="shared" si="56"/>
        <v>Not cost-effective</v>
      </c>
      <c r="AR125" s="198">
        <f t="shared" si="73"/>
        <v>1.6739433928535268</v>
      </c>
      <c r="AS125" s="159" t="str">
        <f t="shared" si="57"/>
        <v>Not cost-effective</v>
      </c>
      <c r="AT125" s="198">
        <f t="shared" si="74"/>
        <v>0.69378626051328196</v>
      </c>
      <c r="AU125" s="159" t="str">
        <f t="shared" si="58"/>
        <v>Not cost-effective</v>
      </c>
      <c r="AV125" s="162" t="s">
        <v>173</v>
      </c>
      <c r="AW125" s="162" t="s">
        <v>1995</v>
      </c>
      <c r="AX125" s="168">
        <f t="shared" si="59"/>
        <v>1</v>
      </c>
      <c r="AY125" s="168">
        <f t="shared" si="60"/>
        <v>1</v>
      </c>
      <c r="AZ125" s="163">
        <f t="shared" si="61"/>
        <v>1</v>
      </c>
      <c r="BA125" s="163">
        <f t="shared" si="62"/>
        <v>1</v>
      </c>
      <c r="BB125" s="163">
        <f t="shared" si="63"/>
        <v>1</v>
      </c>
      <c r="BC125" s="163">
        <f t="shared" si="64"/>
        <v>1</v>
      </c>
      <c r="BD125" s="163">
        <f t="shared" si="65"/>
        <v>6</v>
      </c>
      <c r="BE125" s="163" t="s">
        <v>157</v>
      </c>
      <c r="BF125" s="162" t="s">
        <v>1427</v>
      </c>
    </row>
    <row r="126" spans="1:58">
      <c r="A126" s="159">
        <f t="shared" si="75"/>
        <v>40</v>
      </c>
      <c r="B126" s="159">
        <f t="shared" si="76"/>
        <v>2</v>
      </c>
      <c r="C126" s="190" t="str">
        <f t="shared" si="38"/>
        <v>4002</v>
      </c>
      <c r="D126" s="159" t="s">
        <v>506</v>
      </c>
      <c r="E126" s="192">
        <v>2010</v>
      </c>
      <c r="F126" s="162" t="s">
        <v>1961</v>
      </c>
      <c r="G126" s="162" t="s">
        <v>330</v>
      </c>
      <c r="H126" s="163" t="str">
        <f t="shared" si="67"/>
        <v>LM</v>
      </c>
      <c r="I126" s="163" t="s">
        <v>157</v>
      </c>
      <c r="J126" s="162" t="s">
        <v>183</v>
      </c>
      <c r="K126" s="162" t="s">
        <v>151</v>
      </c>
      <c r="L126" s="162" t="s">
        <v>352</v>
      </c>
      <c r="M126" s="162" t="s">
        <v>2013</v>
      </c>
      <c r="N126" s="163" t="s">
        <v>157</v>
      </c>
      <c r="O126" s="162" t="s">
        <v>1979</v>
      </c>
      <c r="P126" s="162" t="s">
        <v>338</v>
      </c>
      <c r="Q126" s="162" t="s">
        <v>330</v>
      </c>
      <c r="R126" s="163">
        <v>2004</v>
      </c>
      <c r="S126" s="194">
        <v>31</v>
      </c>
      <c r="T126" s="194">
        <f>IF(ISNUMBER(S126),S126/VLOOKUP($Q126,xRates!$A$1:$AA$267,studies!$R126-xRates!$B$1+2,FALSE),S126)</f>
        <v>10.597857808894213</v>
      </c>
      <c r="V126" s="194"/>
      <c r="W126" s="163" t="s">
        <v>157</v>
      </c>
      <c r="X126" s="163" t="s">
        <v>157</v>
      </c>
      <c r="Y126" s="163" t="s">
        <v>148</v>
      </c>
      <c r="Z126" s="163" t="s">
        <v>148</v>
      </c>
      <c r="AA126" s="163" t="s">
        <v>148</v>
      </c>
      <c r="AB126" s="163" t="s">
        <v>247</v>
      </c>
      <c r="AC126" s="196">
        <v>24930</v>
      </c>
      <c r="AD126" s="196">
        <f>AC126/xRates!$J$28</f>
        <v>8522.72887663654</v>
      </c>
      <c r="AE126" s="192" t="str">
        <f t="shared" si="49"/>
        <v>No</v>
      </c>
      <c r="AF126" s="196">
        <f t="shared" si="68"/>
        <v>3637.3138899999999</v>
      </c>
      <c r="AG126" s="159" t="str">
        <f t="shared" si="50"/>
        <v>Not cost-effective</v>
      </c>
      <c r="AH126" s="159" t="str">
        <f t="shared" si="51"/>
        <v>Cost-effective</v>
      </c>
      <c r="AI126" s="198">
        <f t="shared" si="52"/>
        <v>2.3431381328039689</v>
      </c>
      <c r="AJ126" s="198">
        <f t="shared" si="69"/>
        <v>1.0900000000000001</v>
      </c>
      <c r="AK126" s="159" t="str">
        <f t="shared" si="53"/>
        <v>Not cost-effective</v>
      </c>
      <c r="AL126" s="198">
        <f t="shared" si="70"/>
        <v>0.71</v>
      </c>
      <c r="AM126" s="162" t="str">
        <f t="shared" si="54"/>
        <v>Not cost-effective</v>
      </c>
      <c r="AN126" s="198">
        <f t="shared" si="71"/>
        <v>0.61331405073457201</v>
      </c>
      <c r="AO126" s="159" t="str">
        <f t="shared" si="55"/>
        <v>Not cost-effective</v>
      </c>
      <c r="AP126" s="198">
        <f t="shared" si="72"/>
        <v>0.19454672897770822</v>
      </c>
      <c r="AQ126" s="159" t="str">
        <f t="shared" si="56"/>
        <v>Not cost-effective</v>
      </c>
      <c r="AR126" s="198">
        <f t="shared" si="73"/>
        <v>1.6739433928535268</v>
      </c>
      <c r="AS126" s="159" t="str">
        <f t="shared" si="57"/>
        <v>Not cost-effective</v>
      </c>
      <c r="AT126" s="198">
        <f t="shared" si="74"/>
        <v>0.69378626051328196</v>
      </c>
      <c r="AU126" s="159" t="str">
        <f t="shared" si="58"/>
        <v>Not cost-effective</v>
      </c>
      <c r="AV126" s="162" t="s">
        <v>173</v>
      </c>
      <c r="AW126" s="162" t="s">
        <v>1995</v>
      </c>
      <c r="AX126" s="168">
        <f t="shared" si="59"/>
        <v>1</v>
      </c>
      <c r="AY126" s="168">
        <f t="shared" si="60"/>
        <v>1</v>
      </c>
      <c r="AZ126" s="163">
        <f t="shared" si="61"/>
        <v>1</v>
      </c>
      <c r="BA126" s="163">
        <f t="shared" si="62"/>
        <v>1</v>
      </c>
      <c r="BB126" s="163">
        <f t="shared" si="63"/>
        <v>1</v>
      </c>
      <c r="BC126" s="163">
        <f t="shared" si="64"/>
        <v>1</v>
      </c>
      <c r="BD126" s="163">
        <f t="shared" si="65"/>
        <v>6</v>
      </c>
      <c r="BE126" s="163" t="s">
        <v>157</v>
      </c>
      <c r="BF126" s="162" t="s">
        <v>1427</v>
      </c>
    </row>
    <row r="127" spans="1:58">
      <c r="A127" s="159">
        <f t="shared" si="75"/>
        <v>41</v>
      </c>
      <c r="B127" s="159">
        <f t="shared" si="76"/>
        <v>1</v>
      </c>
      <c r="C127" s="190" t="str">
        <f t="shared" si="38"/>
        <v>4101</v>
      </c>
      <c r="D127" s="159" t="s">
        <v>511</v>
      </c>
      <c r="E127" s="192">
        <v>2013</v>
      </c>
      <c r="F127" s="162" t="s">
        <v>1962</v>
      </c>
      <c r="G127" s="162" t="s">
        <v>455</v>
      </c>
      <c r="H127" s="163" t="str">
        <f t="shared" si="67"/>
        <v>UM</v>
      </c>
      <c r="I127" s="163" t="s">
        <v>157</v>
      </c>
      <c r="J127" s="162" t="s">
        <v>150</v>
      </c>
      <c r="K127" s="162" t="s">
        <v>151</v>
      </c>
      <c r="L127" s="162" t="s">
        <v>149</v>
      </c>
      <c r="M127" s="162" t="s">
        <v>2014</v>
      </c>
      <c r="N127" s="163" t="s">
        <v>148</v>
      </c>
      <c r="O127" s="162" t="s">
        <v>1979</v>
      </c>
      <c r="P127" s="162" t="s">
        <v>154</v>
      </c>
      <c r="Q127" s="162" t="s">
        <v>155</v>
      </c>
      <c r="R127" s="163">
        <v>2011</v>
      </c>
      <c r="S127" s="194">
        <v>30</v>
      </c>
      <c r="T127" s="194">
        <f>IF(ISNUMBER(S127),S127/VLOOKUP($Q127,xRates!$A$1:$AA$267,studies!$R127-xRates!$B$1+2,FALSE),S127)</f>
        <v>30</v>
      </c>
      <c r="V127" s="194"/>
      <c r="W127" s="163" t="s">
        <v>157</v>
      </c>
      <c r="X127" s="163" t="s">
        <v>157</v>
      </c>
      <c r="Y127" s="163" t="s">
        <v>148</v>
      </c>
      <c r="Z127" s="163" t="s">
        <v>148</v>
      </c>
      <c r="AA127" s="163" t="s">
        <v>148</v>
      </c>
      <c r="AB127" s="163" t="s">
        <v>469</v>
      </c>
      <c r="AC127" s="196">
        <v>7109</v>
      </c>
      <c r="AD127" s="196">
        <v>7109</v>
      </c>
      <c r="AE127" s="192" t="str">
        <f t="shared" si="49"/>
        <v>No</v>
      </c>
      <c r="AF127" s="196">
        <f t="shared" si="68"/>
        <v>11420.55546</v>
      </c>
      <c r="AG127" s="159" t="str">
        <f t="shared" si="50"/>
        <v>Cost-effective</v>
      </c>
      <c r="AH127" s="159" t="str">
        <f t="shared" si="51"/>
        <v>Cost-effective</v>
      </c>
      <c r="AI127" s="198">
        <f t="shared" si="52"/>
        <v>0.6224741016230747</v>
      </c>
      <c r="AJ127" s="198">
        <f t="shared" si="69"/>
        <v>1.43</v>
      </c>
      <c r="AK127" s="159" t="str">
        <f t="shared" si="53"/>
        <v>Cost-effective</v>
      </c>
      <c r="AL127" s="198">
        <f t="shared" si="70"/>
        <v>0.82</v>
      </c>
      <c r="AM127" s="162" t="str">
        <f t="shared" si="54"/>
        <v>Cost-effective</v>
      </c>
      <c r="AN127" s="198">
        <f t="shared" si="71"/>
        <v>0.54388575340378054</v>
      </c>
      <c r="AO127" s="159" t="str">
        <f t="shared" si="55"/>
        <v>Not cost-effective</v>
      </c>
      <c r="AP127" s="198">
        <f t="shared" si="72"/>
        <v>0.2338526413848058</v>
      </c>
      <c r="AQ127" s="159" t="str">
        <f t="shared" si="56"/>
        <v>Not cost-effective</v>
      </c>
      <c r="AR127" s="198">
        <f t="shared" si="73"/>
        <v>0.76018072360236422</v>
      </c>
      <c r="AS127" s="159" t="str">
        <f t="shared" si="57"/>
        <v>Cost-effective</v>
      </c>
      <c r="AT127" s="198">
        <f t="shared" si="74"/>
        <v>0.31507923271318067</v>
      </c>
      <c r="AU127" s="159" t="str">
        <f t="shared" si="58"/>
        <v>Not cost-effective</v>
      </c>
      <c r="AV127" s="162" t="s">
        <v>210</v>
      </c>
      <c r="AW127" s="162" t="s">
        <v>1995</v>
      </c>
      <c r="AX127" s="168">
        <f t="shared" si="59"/>
        <v>0</v>
      </c>
      <c r="AY127" s="168">
        <f t="shared" si="60"/>
        <v>0</v>
      </c>
      <c r="AZ127" s="163">
        <f t="shared" si="61"/>
        <v>1</v>
      </c>
      <c r="BA127" s="163">
        <f t="shared" si="62"/>
        <v>1</v>
      </c>
      <c r="BB127" s="163">
        <f t="shared" si="63"/>
        <v>0</v>
      </c>
      <c r="BC127" s="163">
        <f t="shared" si="64"/>
        <v>1</v>
      </c>
      <c r="BD127" s="163">
        <f t="shared" si="65"/>
        <v>3</v>
      </c>
      <c r="BE127" s="163" t="s">
        <v>157</v>
      </c>
      <c r="BF127" s="162" t="s">
        <v>1426</v>
      </c>
    </row>
    <row r="128" spans="1:58">
      <c r="A128" s="159">
        <f t="shared" si="75"/>
        <v>41</v>
      </c>
      <c r="B128" s="159">
        <f t="shared" si="76"/>
        <v>2</v>
      </c>
      <c r="C128" s="190" t="str">
        <f t="shared" si="38"/>
        <v>4102</v>
      </c>
      <c r="D128" s="159" t="s">
        <v>511</v>
      </c>
      <c r="E128" s="192">
        <v>2013</v>
      </c>
      <c r="F128" s="162" t="s">
        <v>1962</v>
      </c>
      <c r="G128" s="162" t="s">
        <v>455</v>
      </c>
      <c r="H128" s="163" t="str">
        <f t="shared" si="67"/>
        <v>UM</v>
      </c>
      <c r="I128" s="163" t="s">
        <v>157</v>
      </c>
      <c r="J128" s="162" t="s">
        <v>183</v>
      </c>
      <c r="K128" s="162" t="s">
        <v>151</v>
      </c>
      <c r="L128" s="162" t="s">
        <v>352</v>
      </c>
      <c r="M128" s="162" t="s">
        <v>2014</v>
      </c>
      <c r="N128" s="163" t="s">
        <v>148</v>
      </c>
      <c r="O128" s="162" t="s">
        <v>1979</v>
      </c>
      <c r="P128" s="162" t="s">
        <v>154</v>
      </c>
      <c r="Q128" s="162" t="s">
        <v>155</v>
      </c>
      <c r="R128" s="163">
        <v>2011</v>
      </c>
      <c r="S128" s="194">
        <v>30</v>
      </c>
      <c r="T128" s="194">
        <f>IF(ISNUMBER(S128),S128/VLOOKUP($Q128,xRates!$A$1:$AA$267,studies!$R128-xRates!$B$1+2,FALSE),S128)</f>
        <v>30</v>
      </c>
      <c r="V128" s="194"/>
      <c r="W128" s="163" t="s">
        <v>157</v>
      </c>
      <c r="X128" s="163" t="s">
        <v>157</v>
      </c>
      <c r="Y128" s="163" t="s">
        <v>148</v>
      </c>
      <c r="Z128" s="163" t="s">
        <v>148</v>
      </c>
      <c r="AA128" s="163" t="s">
        <v>148</v>
      </c>
      <c r="AB128" s="163" t="s">
        <v>469</v>
      </c>
      <c r="AC128" s="196">
        <v>6784</v>
      </c>
      <c r="AD128" s="196">
        <v>6784</v>
      </c>
      <c r="AE128" s="192" t="str">
        <f t="shared" si="49"/>
        <v>No</v>
      </c>
      <c r="AF128" s="196">
        <f t="shared" si="68"/>
        <v>11420.55546</v>
      </c>
      <c r="AG128" s="159" t="str">
        <f t="shared" si="50"/>
        <v>Cost-effective</v>
      </c>
      <c r="AH128" s="159" t="str">
        <f t="shared" si="51"/>
        <v>Cost-effective</v>
      </c>
      <c r="AI128" s="198">
        <f t="shared" si="52"/>
        <v>0.59401664163889978</v>
      </c>
      <c r="AJ128" s="198">
        <f t="shared" si="69"/>
        <v>1.43</v>
      </c>
      <c r="AK128" s="159" t="str">
        <f t="shared" si="53"/>
        <v>Cost-effective</v>
      </c>
      <c r="AL128" s="198">
        <f t="shared" si="70"/>
        <v>0.82</v>
      </c>
      <c r="AM128" s="162" t="str">
        <f t="shared" si="54"/>
        <v>Cost-effective</v>
      </c>
      <c r="AN128" s="198">
        <f t="shared" si="71"/>
        <v>0.54388575340378054</v>
      </c>
      <c r="AO128" s="159" t="str">
        <f t="shared" si="55"/>
        <v>Not cost-effective</v>
      </c>
      <c r="AP128" s="198">
        <f t="shared" si="72"/>
        <v>0.2338526413848058</v>
      </c>
      <c r="AQ128" s="159" t="str">
        <f t="shared" si="56"/>
        <v>Not cost-effective</v>
      </c>
      <c r="AR128" s="198">
        <f t="shared" si="73"/>
        <v>0.76018072360236422</v>
      </c>
      <c r="AS128" s="159" t="str">
        <f t="shared" si="57"/>
        <v>Cost-effective</v>
      </c>
      <c r="AT128" s="198">
        <f t="shared" si="74"/>
        <v>0.31507923271318067</v>
      </c>
      <c r="AU128" s="159" t="str">
        <f t="shared" si="58"/>
        <v>Not cost-effective</v>
      </c>
      <c r="AV128" s="162" t="s">
        <v>210</v>
      </c>
      <c r="AW128" s="162" t="s">
        <v>1995</v>
      </c>
      <c r="AX128" s="168">
        <f t="shared" si="59"/>
        <v>0</v>
      </c>
      <c r="AY128" s="168">
        <f t="shared" si="60"/>
        <v>0</v>
      </c>
      <c r="AZ128" s="163">
        <f t="shared" si="61"/>
        <v>1</v>
      </c>
      <c r="BA128" s="163">
        <f t="shared" si="62"/>
        <v>1</v>
      </c>
      <c r="BB128" s="163">
        <f t="shared" si="63"/>
        <v>0</v>
      </c>
      <c r="BC128" s="163">
        <f t="shared" si="64"/>
        <v>1</v>
      </c>
      <c r="BD128" s="163">
        <f t="shared" si="65"/>
        <v>3</v>
      </c>
      <c r="BE128" s="163" t="s">
        <v>157</v>
      </c>
      <c r="BF128" s="162" t="s">
        <v>1426</v>
      </c>
    </row>
    <row r="129" spans="1:58">
      <c r="A129" s="159">
        <f t="shared" si="75"/>
        <v>41</v>
      </c>
      <c r="B129" s="159">
        <f t="shared" si="76"/>
        <v>3</v>
      </c>
      <c r="C129" s="190" t="str">
        <f t="shared" si="38"/>
        <v>4103</v>
      </c>
      <c r="D129" s="159" t="s">
        <v>511</v>
      </c>
      <c r="E129" s="192">
        <v>2013</v>
      </c>
      <c r="F129" s="162" t="s">
        <v>1962</v>
      </c>
      <c r="G129" s="162" t="s">
        <v>455</v>
      </c>
      <c r="H129" s="163" t="str">
        <f t="shared" si="67"/>
        <v>UM</v>
      </c>
      <c r="I129" s="163" t="s">
        <v>157</v>
      </c>
      <c r="J129" s="162" t="s">
        <v>186</v>
      </c>
      <c r="K129" s="162" t="s">
        <v>151</v>
      </c>
      <c r="L129" s="162" t="s">
        <v>353</v>
      </c>
      <c r="M129" s="162" t="s">
        <v>2014</v>
      </c>
      <c r="N129" s="163" t="s">
        <v>148</v>
      </c>
      <c r="O129" s="162" t="s">
        <v>1979</v>
      </c>
      <c r="P129" s="162" t="s">
        <v>154</v>
      </c>
      <c r="Q129" s="162" t="s">
        <v>155</v>
      </c>
      <c r="R129" s="163">
        <v>2011</v>
      </c>
      <c r="S129" s="194">
        <v>30</v>
      </c>
      <c r="T129" s="194">
        <f>IF(ISNUMBER(S129),S129/VLOOKUP($Q129,xRates!$A$1:$AA$267,studies!$R129-xRates!$B$1+2,FALSE),S129)</f>
        <v>30</v>
      </c>
      <c r="V129" s="194"/>
      <c r="W129" s="163" t="s">
        <v>157</v>
      </c>
      <c r="X129" s="163" t="s">
        <v>157</v>
      </c>
      <c r="Y129" s="163" t="s">
        <v>148</v>
      </c>
      <c r="Z129" s="163" t="s">
        <v>148</v>
      </c>
      <c r="AA129" s="163" t="s">
        <v>148</v>
      </c>
      <c r="AB129" s="163" t="s">
        <v>469</v>
      </c>
      <c r="AC129" s="196">
        <v>6696</v>
      </c>
      <c r="AD129" s="196">
        <v>6696</v>
      </c>
      <c r="AE129" s="192" t="str">
        <f t="shared" si="49"/>
        <v>No</v>
      </c>
      <c r="AF129" s="196">
        <f t="shared" si="68"/>
        <v>11420.55546</v>
      </c>
      <c r="AG129" s="159" t="str">
        <f t="shared" si="50"/>
        <v>Cost-effective</v>
      </c>
      <c r="AH129" s="159" t="str">
        <f t="shared" si="51"/>
        <v>Cost-effective</v>
      </c>
      <c r="AI129" s="198">
        <f t="shared" si="52"/>
        <v>0.58631123708933863</v>
      </c>
      <c r="AJ129" s="198">
        <f t="shared" si="69"/>
        <v>1.43</v>
      </c>
      <c r="AK129" s="159" t="str">
        <f t="shared" si="53"/>
        <v>Cost-effective</v>
      </c>
      <c r="AL129" s="198">
        <f t="shared" si="70"/>
        <v>0.82</v>
      </c>
      <c r="AM129" s="162" t="str">
        <f t="shared" si="54"/>
        <v>Cost-effective</v>
      </c>
      <c r="AN129" s="198">
        <f t="shared" si="71"/>
        <v>0.54388575340378054</v>
      </c>
      <c r="AO129" s="159" t="str">
        <f t="shared" si="55"/>
        <v>Not cost-effective</v>
      </c>
      <c r="AP129" s="198">
        <f t="shared" si="72"/>
        <v>0.2338526413848058</v>
      </c>
      <c r="AQ129" s="159" t="str">
        <f t="shared" si="56"/>
        <v>Not cost-effective</v>
      </c>
      <c r="AR129" s="198">
        <f t="shared" si="73"/>
        <v>0.76018072360236422</v>
      </c>
      <c r="AS129" s="159" t="str">
        <f t="shared" si="57"/>
        <v>Cost-effective</v>
      </c>
      <c r="AT129" s="198">
        <f t="shared" si="74"/>
        <v>0.31507923271318067</v>
      </c>
      <c r="AU129" s="159" t="str">
        <f t="shared" si="58"/>
        <v>Not cost-effective</v>
      </c>
      <c r="AV129" s="162" t="s">
        <v>210</v>
      </c>
      <c r="AW129" s="162" t="s">
        <v>1995</v>
      </c>
      <c r="AX129" s="168">
        <f t="shared" si="59"/>
        <v>0</v>
      </c>
      <c r="AY129" s="168">
        <f t="shared" si="60"/>
        <v>0</v>
      </c>
      <c r="AZ129" s="163">
        <f t="shared" si="61"/>
        <v>1</v>
      </c>
      <c r="BA129" s="163">
        <f t="shared" si="62"/>
        <v>1</v>
      </c>
      <c r="BB129" s="163">
        <f t="shared" si="63"/>
        <v>0</v>
      </c>
      <c r="BC129" s="163">
        <f t="shared" si="64"/>
        <v>1</v>
      </c>
      <c r="BD129" s="163">
        <f t="shared" si="65"/>
        <v>3</v>
      </c>
      <c r="BE129" s="163" t="s">
        <v>157</v>
      </c>
      <c r="BF129" s="162" t="s">
        <v>1426</v>
      </c>
    </row>
    <row r="130" spans="1:58">
      <c r="A130" s="159">
        <f t="shared" si="75"/>
        <v>42</v>
      </c>
      <c r="B130" s="159">
        <f t="shared" si="76"/>
        <v>1</v>
      </c>
      <c r="C130" s="190" t="str">
        <f t="shared" ref="C130:C193" si="77">_xlfn.CONCAT(TEXT(A130,"00"),TEXT(B130,"00"))</f>
        <v>4201</v>
      </c>
      <c r="D130" s="159" t="s">
        <v>519</v>
      </c>
      <c r="E130" s="163">
        <v>2010</v>
      </c>
      <c r="F130" s="162" t="s">
        <v>1963</v>
      </c>
      <c r="G130" s="162" t="s">
        <v>421</v>
      </c>
      <c r="H130" s="163" t="str">
        <f t="shared" ref="H130:H161" si="78">VLOOKUP(G130,income,R130-1985,FALSE)</f>
        <v>LM</v>
      </c>
      <c r="I130" s="163" t="s">
        <v>157</v>
      </c>
      <c r="J130" s="162" t="s">
        <v>150</v>
      </c>
      <c r="K130" s="162" t="s">
        <v>151</v>
      </c>
      <c r="L130" s="162" t="s">
        <v>149</v>
      </c>
      <c r="M130" s="162" t="s">
        <v>2013</v>
      </c>
      <c r="N130" s="163" t="s">
        <v>148</v>
      </c>
      <c r="O130" s="162" t="s">
        <v>1979</v>
      </c>
      <c r="P130" s="162" t="s">
        <v>154</v>
      </c>
      <c r="Q130" s="162" t="s">
        <v>155</v>
      </c>
      <c r="R130" s="163">
        <v>2006</v>
      </c>
      <c r="S130" s="194">
        <v>35</v>
      </c>
      <c r="T130" s="194">
        <f>IF(ISNUMBER(S130),S130/VLOOKUP($Q130,xRates!$A$1:$AA$267,studies!$R130-xRates!$B$1+2,FALSE),S130)</f>
        <v>35</v>
      </c>
      <c r="V130" s="194"/>
      <c r="W130" s="163" t="s">
        <v>157</v>
      </c>
      <c r="X130" s="163" t="s">
        <v>157</v>
      </c>
      <c r="Y130" s="163" t="s">
        <v>148</v>
      </c>
      <c r="Z130" s="163" t="s">
        <v>148</v>
      </c>
      <c r="AA130" s="163" t="s">
        <v>148</v>
      </c>
      <c r="AB130" s="163" t="s">
        <v>469</v>
      </c>
      <c r="AC130" s="196">
        <v>752</v>
      </c>
      <c r="AD130" s="196">
        <v>752</v>
      </c>
      <c r="AE130" s="192" t="str">
        <f t="shared" si="49"/>
        <v>No</v>
      </c>
      <c r="AF130" s="196">
        <f t="shared" ref="AF130:AF161" si="79">VLOOKUP(G130,gdppc,R130-1958,FALSE)</f>
        <v>3741.0928370000001</v>
      </c>
      <c r="AG130" s="159" t="str">
        <f t="shared" si="50"/>
        <v>Cost-effective</v>
      </c>
      <c r="AH130" s="159" t="str">
        <f t="shared" si="51"/>
        <v>Cost-effective</v>
      </c>
      <c r="AI130" s="198">
        <f t="shared" si="52"/>
        <v>0.20101078288210358</v>
      </c>
      <c r="AJ130" s="198">
        <f t="shared" ref="AJ130:AJ161" si="80">IFERROR(VLOOKUP(G130,ochalek,11,FALSE),"")</f>
        <v>1.89</v>
      </c>
      <c r="AK130" s="159" t="str">
        <f t="shared" si="53"/>
        <v>Cost-effective</v>
      </c>
      <c r="AL130" s="198">
        <f t="shared" ref="AL130:AL161" si="81">IFERROR(VLOOKUP(G130,ochalek,10,FALSE),"")</f>
        <v>1.17</v>
      </c>
      <c r="AM130" s="162" t="str">
        <f t="shared" si="54"/>
        <v>Cost-effective</v>
      </c>
      <c r="AN130" s="198">
        <f t="shared" ref="AN130:AN161" si="82">IFERROR(VLOOKUP(G130,woods,6,FALSE),"")</f>
        <v>0.67142448878179284</v>
      </c>
      <c r="AO130" s="159" t="str">
        <f t="shared" si="55"/>
        <v>Cost-effective</v>
      </c>
      <c r="AP130" s="198">
        <f t="shared" ref="AP130:AP161" si="83">IFERROR(VLOOKUP(G130,woods,5,FALSE),"")</f>
        <v>0.16670017209696561</v>
      </c>
      <c r="AQ130" s="159" t="str">
        <f t="shared" si="56"/>
        <v>Not cost-effective</v>
      </c>
      <c r="AR130" s="198">
        <f t="shared" ref="AR130:AR161" si="84">IFERROR(VLOOKUP(G130,riviere,8,FALSE),"")</f>
        <v>1.3237396338136047</v>
      </c>
      <c r="AS130" s="159" t="str">
        <f t="shared" si="57"/>
        <v>Cost-effective</v>
      </c>
      <c r="AT130" s="198">
        <f t="shared" ref="AT130:AT161" si="85">IFERROR(VLOOKUP(G130,riviere,7,FALSE),"")</f>
        <v>0.54863988350299309</v>
      </c>
      <c r="AU130" s="159" t="str">
        <f t="shared" si="58"/>
        <v>Cost-effective</v>
      </c>
      <c r="AV130" s="162" t="s">
        <v>210</v>
      </c>
      <c r="AW130" s="162" t="s">
        <v>1995</v>
      </c>
      <c r="AX130" s="168">
        <f t="shared" si="59"/>
        <v>0</v>
      </c>
      <c r="AY130" s="168">
        <f t="shared" si="60"/>
        <v>0</v>
      </c>
      <c r="AZ130" s="163">
        <f t="shared" si="61"/>
        <v>0</v>
      </c>
      <c r="BA130" s="163">
        <f t="shared" si="62"/>
        <v>1</v>
      </c>
      <c r="BB130" s="163">
        <f t="shared" si="63"/>
        <v>0</v>
      </c>
      <c r="BC130" s="163">
        <f t="shared" si="64"/>
        <v>0</v>
      </c>
      <c r="BD130" s="163">
        <f t="shared" si="65"/>
        <v>1</v>
      </c>
      <c r="BE130" s="163" t="s">
        <v>157</v>
      </c>
      <c r="BF130" s="162" t="s">
        <v>1426</v>
      </c>
    </row>
    <row r="131" spans="1:58">
      <c r="A131" s="159">
        <f t="shared" ref="A131:A162" si="86">IF(F131=F130,A130,A130+1)</f>
        <v>43</v>
      </c>
      <c r="B131" s="159">
        <f t="shared" ref="B131:B162" si="87">IF(F131=F130,B130+1,1)</f>
        <v>1</v>
      </c>
      <c r="C131" s="190" t="str">
        <f t="shared" si="77"/>
        <v>4301</v>
      </c>
      <c r="D131" s="159" t="s">
        <v>522</v>
      </c>
      <c r="E131" s="163">
        <v>2013</v>
      </c>
      <c r="F131" s="162" t="s">
        <v>1964</v>
      </c>
      <c r="G131" s="182" t="s">
        <v>365</v>
      </c>
      <c r="H131" s="163" t="str">
        <f t="shared" si="78"/>
        <v>UM</v>
      </c>
      <c r="I131" s="163" t="s">
        <v>157</v>
      </c>
      <c r="J131" s="162" t="s">
        <v>183</v>
      </c>
      <c r="K131" s="162" t="s">
        <v>151</v>
      </c>
      <c r="L131" s="162" t="s">
        <v>352</v>
      </c>
      <c r="M131" s="162" t="s">
        <v>2014</v>
      </c>
      <c r="N131" s="163" t="s">
        <v>148</v>
      </c>
      <c r="O131" s="162" t="s">
        <v>1979</v>
      </c>
      <c r="P131" s="162" t="s">
        <v>154</v>
      </c>
      <c r="Q131" s="162" t="s">
        <v>155</v>
      </c>
      <c r="R131" s="163">
        <v>2009</v>
      </c>
      <c r="S131" s="194">
        <v>20</v>
      </c>
      <c r="T131" s="194">
        <f>IF(ISNUMBER(S131),S131/VLOOKUP($Q131,xRates!$A$1:$AA$267,studies!$R131-xRates!$B$1+2,FALSE),S131)</f>
        <v>20</v>
      </c>
      <c r="V131" s="194"/>
      <c r="W131" s="163" t="s">
        <v>157</v>
      </c>
      <c r="X131" s="163" t="s">
        <v>157</v>
      </c>
      <c r="Y131" s="163" t="s">
        <v>148</v>
      </c>
      <c r="Z131" s="163" t="s">
        <v>148</v>
      </c>
      <c r="AA131" s="163" t="s">
        <v>148</v>
      </c>
      <c r="AB131" s="163" t="s">
        <v>159</v>
      </c>
      <c r="AC131" s="196">
        <v>3347.53</v>
      </c>
      <c r="AD131" s="196">
        <v>3347.53</v>
      </c>
      <c r="AE131" s="192" t="str">
        <f t="shared" ref="AE131:AE194" si="88">IF(AD131&lt;0, "Yes", "No")</f>
        <v>No</v>
      </c>
      <c r="AF131" s="196">
        <f t="shared" si="79"/>
        <v>8225.1375829999997</v>
      </c>
      <c r="AG131" s="159" t="str">
        <f t="shared" ref="AG131:AG194" si="89">IF(AD131="NA", ".", IF(AD131&lt;0,"Cost-saving",IF(AD131&lt;=AF131,"Cost-effective",IF(AD131&gt;AF131&amp;AD131&lt;&gt;"NA","Not cost-effective","Missing"))))</f>
        <v>Cost-effective</v>
      </c>
      <c r="AH131" s="159" t="str">
        <f t="shared" ref="AH131:AH194" si="90">IF(AD131="NA", ".", IF(AD131&lt;0,"Cost-saving",IF(AD131&lt;=AF131*3,"Cost-effective",IF(AD131&gt;AF131*3&amp;AD131&lt;&gt;"NA","Not cost-effective","Missing"))))</f>
        <v>Cost-effective</v>
      </c>
      <c r="AI131" s="198">
        <f t="shared" ref="AI131:AI194" si="91">IFERROR(AD131/AF131,"")</f>
        <v>0.4069877210222953</v>
      </c>
      <c r="AJ131" s="198">
        <f t="shared" si="80"/>
        <v>0.56000000000000005</v>
      </c>
      <c r="AK131" s="159" t="str">
        <f t="shared" ref="AK131:AK194" si="92">IF(AI131&lt;0,"Cost-saving", IF(AJ131=".", ".", IF(AI131&lt;AJ131, "Cost-effective", "Not cost-effective")))</f>
        <v>Cost-effective</v>
      </c>
      <c r="AL131" s="198">
        <f t="shared" si="81"/>
        <v>0.37</v>
      </c>
      <c r="AM131" s="162" t="str">
        <f t="shared" ref="AM131:AM194" si="93">IF(AI131&lt;0,"Cost-saving", IF(AL131=".", ".", IF(AI131&lt;AL131, "Cost-effective", "Not cost-effective")))</f>
        <v>Not cost-effective</v>
      </c>
      <c r="AN131" s="198" t="str">
        <f t="shared" si="82"/>
        <v/>
      </c>
      <c r="AO131" s="159" t="str">
        <f t="shared" ref="AO131:AO194" si="94">IF(AI131&lt;0,"Cost-saving", IF(AN131=".", ".", IF(AI131&lt;AN131, "Cost-effective", "Not cost-effective")))</f>
        <v>Cost-effective</v>
      </c>
      <c r="AP131" s="198" t="str">
        <f t="shared" si="83"/>
        <v/>
      </c>
      <c r="AQ131" s="159" t="str">
        <f t="shared" ref="AQ131:AQ194" si="95">IF(AI131&lt;0,"Cost-saving", IF(AP131=".", ".", IF(AI131&lt;AP131, "Cost-effective", "Not cost-effective")))</f>
        <v>Cost-effective</v>
      </c>
      <c r="AR131" s="198">
        <f t="shared" si="84"/>
        <v>1.6326529897923321</v>
      </c>
      <c r="AS131" s="159" t="str">
        <f t="shared" ref="AS131:AS194" si="96">IF(AI131&lt;0,"Cost-saving", IF(AR131=".", ".", IF(AI131&lt;AR131, "Cost-effective", "Not cost-effective")))</f>
        <v>Cost-effective</v>
      </c>
      <c r="AT131" s="198">
        <f t="shared" si="85"/>
        <v>0.67666749470350318</v>
      </c>
      <c r="AU131" s="159" t="str">
        <f t="shared" ref="AU131:AU194" si="97">IF(AI131&lt;0,"Cost-saving", IF(AT131=".", ".", IF(AI131&lt;AT131, "Cost-effective", "Not cost-effective")))</f>
        <v>Cost-effective</v>
      </c>
      <c r="AV131" s="162" t="s">
        <v>173</v>
      </c>
      <c r="AW131" s="162" t="s">
        <v>1995</v>
      </c>
      <c r="AX131" s="168">
        <f t="shared" ref="AX131:AX194" si="98">IF(AW131="Cost-Effective",IF(AK131="Not Cost-Effective",1,0),"")</f>
        <v>0</v>
      </c>
      <c r="AY131" s="168">
        <f t="shared" ref="AY131:AY194" si="99">IF(AW131="Cost-Effective",IF(AM131="Not Cost-Effective",1,0),"")</f>
        <v>1</v>
      </c>
      <c r="AZ131" s="163">
        <f t="shared" ref="AZ131:AZ194" si="100">IF(AW131="Cost-Effective",IF(AO131="Not Cost-Effective",1,0),"")</f>
        <v>0</v>
      </c>
      <c r="BA131" s="163">
        <f t="shared" ref="BA131:BA194" si="101">IF(AW131="Cost-Effective",IF(AQ131="Not Cost-Effective",1,0),"")</f>
        <v>0</v>
      </c>
      <c r="BB131" s="163">
        <f t="shared" ref="BB131:BB194" si="102">IF(AW131="Cost-Effective",IF(AS131="Not Cost-Effective",1,0),"")</f>
        <v>0</v>
      </c>
      <c r="BC131" s="163">
        <f t="shared" ref="BC131:BC194" si="103">IF(AW131="Cost-Effective",IF(AU131="Not Cost-Effective",1,0),"")</f>
        <v>0</v>
      </c>
      <c r="BD131" s="163">
        <f t="shared" ref="BD131:BD194" si="104">SUM(AX131:BC131)</f>
        <v>1</v>
      </c>
      <c r="BE131" s="163" t="s">
        <v>157</v>
      </c>
      <c r="BF131" s="162" t="s">
        <v>1425</v>
      </c>
    </row>
    <row r="132" spans="1:58">
      <c r="A132" s="159">
        <f t="shared" si="86"/>
        <v>43</v>
      </c>
      <c r="B132" s="159">
        <f t="shared" si="87"/>
        <v>2</v>
      </c>
      <c r="C132" s="190" t="str">
        <f t="shared" si="77"/>
        <v>4302</v>
      </c>
      <c r="D132" s="159" t="s">
        <v>522</v>
      </c>
      <c r="E132" s="163">
        <v>2013</v>
      </c>
      <c r="F132" s="162" t="s">
        <v>1964</v>
      </c>
      <c r="G132" s="182" t="s">
        <v>365</v>
      </c>
      <c r="H132" s="163" t="str">
        <f t="shared" si="78"/>
        <v>UM</v>
      </c>
      <c r="I132" s="163" t="s">
        <v>157</v>
      </c>
      <c r="J132" s="162" t="s">
        <v>183</v>
      </c>
      <c r="K132" s="162" t="s">
        <v>151</v>
      </c>
      <c r="L132" s="162" t="s">
        <v>352</v>
      </c>
      <c r="M132" s="162" t="s">
        <v>2014</v>
      </c>
      <c r="N132" s="163" t="s">
        <v>157</v>
      </c>
      <c r="O132" s="162" t="s">
        <v>153</v>
      </c>
      <c r="P132" s="162" t="s">
        <v>154</v>
      </c>
      <c r="Q132" s="162" t="s">
        <v>155</v>
      </c>
      <c r="R132" s="163">
        <v>2009</v>
      </c>
      <c r="S132" s="194">
        <v>20</v>
      </c>
      <c r="T132" s="194">
        <f>IF(ISNUMBER(S132),S132/VLOOKUP($Q132,xRates!$A$1:$AA$267,studies!$R132-xRates!$B$1+2,FALSE),S132)</f>
        <v>20</v>
      </c>
      <c r="V132" s="194"/>
      <c r="W132" s="163" t="s">
        <v>157</v>
      </c>
      <c r="X132" s="163" t="s">
        <v>157</v>
      </c>
      <c r="Y132" s="163" t="s">
        <v>148</v>
      </c>
      <c r="Z132" s="163" t="s">
        <v>148</v>
      </c>
      <c r="AA132" s="163" t="s">
        <v>148</v>
      </c>
      <c r="AB132" s="163" t="s">
        <v>159</v>
      </c>
      <c r="AC132" s="196">
        <v>1509.59</v>
      </c>
      <c r="AD132" s="196">
        <v>1509.59</v>
      </c>
      <c r="AE132" s="192" t="str">
        <f t="shared" si="88"/>
        <v>No</v>
      </c>
      <c r="AF132" s="196">
        <f t="shared" si="79"/>
        <v>8225.1375829999997</v>
      </c>
      <c r="AG132" s="159" t="str">
        <f t="shared" si="89"/>
        <v>Cost-effective</v>
      </c>
      <c r="AH132" s="159" t="str">
        <f t="shared" si="90"/>
        <v>Cost-effective</v>
      </c>
      <c r="AI132" s="198">
        <f t="shared" si="91"/>
        <v>0.18353370807074074</v>
      </c>
      <c r="AJ132" s="198">
        <f t="shared" si="80"/>
        <v>0.56000000000000005</v>
      </c>
      <c r="AK132" s="159" t="str">
        <f t="shared" si="92"/>
        <v>Cost-effective</v>
      </c>
      <c r="AL132" s="198">
        <f t="shared" si="81"/>
        <v>0.37</v>
      </c>
      <c r="AM132" s="162" t="str">
        <f t="shared" si="93"/>
        <v>Cost-effective</v>
      </c>
      <c r="AN132" s="198" t="str">
        <f t="shared" si="82"/>
        <v/>
      </c>
      <c r="AO132" s="159" t="str">
        <f t="shared" si="94"/>
        <v>Cost-effective</v>
      </c>
      <c r="AP132" s="198" t="str">
        <f t="shared" si="83"/>
        <v/>
      </c>
      <c r="AQ132" s="159" t="str">
        <f t="shared" si="95"/>
        <v>Cost-effective</v>
      </c>
      <c r="AR132" s="198">
        <f t="shared" si="84"/>
        <v>1.6326529897923321</v>
      </c>
      <c r="AS132" s="159" t="str">
        <f t="shared" si="96"/>
        <v>Cost-effective</v>
      </c>
      <c r="AT132" s="198">
        <f t="shared" si="85"/>
        <v>0.67666749470350318</v>
      </c>
      <c r="AU132" s="159" t="str">
        <f t="shared" si="97"/>
        <v>Cost-effective</v>
      </c>
      <c r="AV132" s="162" t="s">
        <v>173</v>
      </c>
      <c r="AW132" s="162" t="s">
        <v>1995</v>
      </c>
      <c r="AX132" s="168">
        <f t="shared" si="98"/>
        <v>0</v>
      </c>
      <c r="AY132" s="168">
        <f t="shared" si="99"/>
        <v>0</v>
      </c>
      <c r="AZ132" s="163">
        <f t="shared" si="100"/>
        <v>0</v>
      </c>
      <c r="BA132" s="163">
        <f t="shared" si="101"/>
        <v>0</v>
      </c>
      <c r="BB132" s="163">
        <f t="shared" si="102"/>
        <v>0</v>
      </c>
      <c r="BC132" s="163">
        <f t="shared" si="103"/>
        <v>0</v>
      </c>
      <c r="BD132" s="163">
        <f t="shared" si="104"/>
        <v>0</v>
      </c>
      <c r="BE132" s="163" t="s">
        <v>157</v>
      </c>
      <c r="BF132" s="162" t="s">
        <v>1425</v>
      </c>
    </row>
    <row r="133" spans="1:58">
      <c r="A133" s="159">
        <f t="shared" si="86"/>
        <v>43</v>
      </c>
      <c r="B133" s="159">
        <f t="shared" si="87"/>
        <v>3</v>
      </c>
      <c r="C133" s="190" t="str">
        <f t="shared" si="77"/>
        <v>4303</v>
      </c>
      <c r="D133" s="159" t="s">
        <v>522</v>
      </c>
      <c r="E133" s="163">
        <v>2013</v>
      </c>
      <c r="F133" s="162" t="s">
        <v>1964</v>
      </c>
      <c r="G133" s="182" t="s">
        <v>365</v>
      </c>
      <c r="H133" s="163" t="str">
        <f t="shared" si="78"/>
        <v>UM</v>
      </c>
      <c r="I133" s="163" t="s">
        <v>157</v>
      </c>
      <c r="J133" s="162" t="s">
        <v>183</v>
      </c>
      <c r="K133" s="162" t="s">
        <v>151</v>
      </c>
      <c r="L133" s="162" t="s">
        <v>352</v>
      </c>
      <c r="M133" s="162" t="s">
        <v>2014</v>
      </c>
      <c r="N133" s="163" t="s">
        <v>157</v>
      </c>
      <c r="O133" s="162" t="s">
        <v>1979</v>
      </c>
      <c r="P133" s="162" t="s">
        <v>154</v>
      </c>
      <c r="Q133" s="162" t="s">
        <v>155</v>
      </c>
      <c r="R133" s="163">
        <v>2009</v>
      </c>
      <c r="S133" s="194">
        <v>20</v>
      </c>
      <c r="T133" s="194">
        <f>IF(ISNUMBER(S133),S133/VLOOKUP($Q133,xRates!$A$1:$AA$267,studies!$R133-xRates!$B$1+2,FALSE),S133)</f>
        <v>20</v>
      </c>
      <c r="V133" s="194"/>
      <c r="W133" s="163" t="s">
        <v>148</v>
      </c>
      <c r="X133" s="163" t="s">
        <v>157</v>
      </c>
      <c r="Y133" s="163" t="s">
        <v>148</v>
      </c>
      <c r="Z133" s="163" t="s">
        <v>148</v>
      </c>
      <c r="AA133" s="163" t="s">
        <v>148</v>
      </c>
      <c r="AB133" s="163" t="s">
        <v>159</v>
      </c>
      <c r="AC133" s="196">
        <v>3295.13</v>
      </c>
      <c r="AD133" s="196">
        <v>3295.13</v>
      </c>
      <c r="AE133" s="192" t="str">
        <f t="shared" si="88"/>
        <v>No</v>
      </c>
      <c r="AF133" s="196">
        <f t="shared" si="79"/>
        <v>8225.1375829999997</v>
      </c>
      <c r="AG133" s="159" t="str">
        <f t="shared" si="89"/>
        <v>Cost-effective</v>
      </c>
      <c r="AH133" s="159" t="str">
        <f t="shared" si="90"/>
        <v>Cost-effective</v>
      </c>
      <c r="AI133" s="198">
        <f t="shared" si="91"/>
        <v>0.40061700691918994</v>
      </c>
      <c r="AJ133" s="198">
        <f t="shared" si="80"/>
        <v>0.56000000000000005</v>
      </c>
      <c r="AK133" s="159" t="str">
        <f t="shared" si="92"/>
        <v>Cost-effective</v>
      </c>
      <c r="AL133" s="198">
        <f t="shared" si="81"/>
        <v>0.37</v>
      </c>
      <c r="AM133" s="162" t="str">
        <f t="shared" si="93"/>
        <v>Not cost-effective</v>
      </c>
      <c r="AN133" s="198" t="str">
        <f t="shared" si="82"/>
        <v/>
      </c>
      <c r="AO133" s="159" t="str">
        <f t="shared" si="94"/>
        <v>Cost-effective</v>
      </c>
      <c r="AP133" s="198" t="str">
        <f t="shared" si="83"/>
        <v/>
      </c>
      <c r="AQ133" s="159" t="str">
        <f t="shared" si="95"/>
        <v>Cost-effective</v>
      </c>
      <c r="AR133" s="198">
        <f t="shared" si="84"/>
        <v>1.6326529897923321</v>
      </c>
      <c r="AS133" s="159" t="str">
        <f t="shared" si="96"/>
        <v>Cost-effective</v>
      </c>
      <c r="AT133" s="198">
        <f t="shared" si="85"/>
        <v>0.67666749470350318</v>
      </c>
      <c r="AU133" s="159" t="str">
        <f t="shared" si="97"/>
        <v>Cost-effective</v>
      </c>
      <c r="AV133" s="162" t="s">
        <v>173</v>
      </c>
      <c r="AW133" s="162" t="s">
        <v>1995</v>
      </c>
      <c r="AX133" s="168">
        <f t="shared" si="98"/>
        <v>0</v>
      </c>
      <c r="AY133" s="168">
        <f t="shared" si="99"/>
        <v>1</v>
      </c>
      <c r="AZ133" s="163">
        <f t="shared" si="100"/>
        <v>0</v>
      </c>
      <c r="BA133" s="163">
        <f t="shared" si="101"/>
        <v>0</v>
      </c>
      <c r="BB133" s="163">
        <f t="shared" si="102"/>
        <v>0</v>
      </c>
      <c r="BC133" s="163">
        <f t="shared" si="103"/>
        <v>0</v>
      </c>
      <c r="BD133" s="163">
        <f t="shared" si="104"/>
        <v>1</v>
      </c>
      <c r="BE133" s="163" t="s">
        <v>157</v>
      </c>
      <c r="BF133" s="162" t="s">
        <v>1425</v>
      </c>
    </row>
    <row r="134" spans="1:58">
      <c r="A134" s="159">
        <f t="shared" si="86"/>
        <v>43</v>
      </c>
      <c r="B134" s="159">
        <f t="shared" si="87"/>
        <v>4</v>
      </c>
      <c r="C134" s="190" t="str">
        <f t="shared" si="77"/>
        <v>4304</v>
      </c>
      <c r="D134" s="159" t="s">
        <v>522</v>
      </c>
      <c r="E134" s="163">
        <v>2013</v>
      </c>
      <c r="F134" s="162" t="s">
        <v>1964</v>
      </c>
      <c r="G134" s="182" t="s">
        <v>365</v>
      </c>
      <c r="H134" s="163" t="str">
        <f t="shared" si="78"/>
        <v>UM</v>
      </c>
      <c r="I134" s="163" t="s">
        <v>157</v>
      </c>
      <c r="J134" s="162" t="s">
        <v>183</v>
      </c>
      <c r="K134" s="162" t="s">
        <v>151</v>
      </c>
      <c r="L134" s="162" t="s">
        <v>352</v>
      </c>
      <c r="M134" s="162" t="s">
        <v>2014</v>
      </c>
      <c r="N134" s="163" t="s">
        <v>157</v>
      </c>
      <c r="O134" s="162" t="s">
        <v>1979</v>
      </c>
      <c r="P134" s="162" t="s">
        <v>154</v>
      </c>
      <c r="Q134" s="162" t="s">
        <v>155</v>
      </c>
      <c r="R134" s="163">
        <v>2009</v>
      </c>
      <c r="S134" s="194">
        <v>20</v>
      </c>
      <c r="T134" s="194">
        <f>IF(ISNUMBER(S134),S134/VLOOKUP($Q134,xRates!$A$1:$AA$267,studies!$R134-xRates!$B$1+2,FALSE),S134)</f>
        <v>20</v>
      </c>
      <c r="V134" s="194"/>
      <c r="W134" s="163" t="s">
        <v>148</v>
      </c>
      <c r="X134" s="163" t="s">
        <v>148</v>
      </c>
      <c r="Y134" s="163" t="s">
        <v>148</v>
      </c>
      <c r="Z134" s="163" t="s">
        <v>148</v>
      </c>
      <c r="AA134" s="163" t="s">
        <v>148</v>
      </c>
      <c r="AB134" s="163" t="s">
        <v>159</v>
      </c>
      <c r="AC134" s="196">
        <v>1454.51</v>
      </c>
      <c r="AD134" s="196">
        <v>1454.51</v>
      </c>
      <c r="AE134" s="192" t="str">
        <f t="shared" si="88"/>
        <v>No</v>
      </c>
      <c r="AF134" s="196">
        <f t="shared" si="79"/>
        <v>8225.1375829999997</v>
      </c>
      <c r="AG134" s="159" t="str">
        <f t="shared" si="89"/>
        <v>Cost-effective</v>
      </c>
      <c r="AH134" s="159" t="str">
        <f t="shared" si="90"/>
        <v>Cost-effective</v>
      </c>
      <c r="AI134" s="198">
        <f t="shared" si="91"/>
        <v>0.17683716355167503</v>
      </c>
      <c r="AJ134" s="198">
        <f t="shared" si="80"/>
        <v>0.56000000000000005</v>
      </c>
      <c r="AK134" s="159" t="str">
        <f t="shared" si="92"/>
        <v>Cost-effective</v>
      </c>
      <c r="AL134" s="198">
        <f t="shared" si="81"/>
        <v>0.37</v>
      </c>
      <c r="AM134" s="162" t="str">
        <f t="shared" si="93"/>
        <v>Cost-effective</v>
      </c>
      <c r="AN134" s="198" t="str">
        <f t="shared" si="82"/>
        <v/>
      </c>
      <c r="AO134" s="159" t="str">
        <f t="shared" si="94"/>
        <v>Cost-effective</v>
      </c>
      <c r="AP134" s="198" t="str">
        <f t="shared" si="83"/>
        <v/>
      </c>
      <c r="AQ134" s="159" t="str">
        <f t="shared" si="95"/>
        <v>Cost-effective</v>
      </c>
      <c r="AR134" s="198">
        <f t="shared" si="84"/>
        <v>1.6326529897923321</v>
      </c>
      <c r="AS134" s="159" t="str">
        <f t="shared" si="96"/>
        <v>Cost-effective</v>
      </c>
      <c r="AT134" s="198">
        <f t="shared" si="85"/>
        <v>0.67666749470350318</v>
      </c>
      <c r="AU134" s="159" t="str">
        <f t="shared" si="97"/>
        <v>Cost-effective</v>
      </c>
      <c r="AV134" s="162" t="s">
        <v>173</v>
      </c>
      <c r="AW134" s="162" t="s">
        <v>1995</v>
      </c>
      <c r="AX134" s="168">
        <f t="shared" si="98"/>
        <v>0</v>
      </c>
      <c r="AY134" s="168">
        <f t="shared" si="99"/>
        <v>0</v>
      </c>
      <c r="AZ134" s="163">
        <f t="shared" si="100"/>
        <v>0</v>
      </c>
      <c r="BA134" s="163">
        <f t="shared" si="101"/>
        <v>0</v>
      </c>
      <c r="BB134" s="163">
        <f t="shared" si="102"/>
        <v>0</v>
      </c>
      <c r="BC134" s="163">
        <f t="shared" si="103"/>
        <v>0</v>
      </c>
      <c r="BD134" s="163">
        <f t="shared" si="104"/>
        <v>0</v>
      </c>
      <c r="BE134" s="163" t="s">
        <v>157</v>
      </c>
      <c r="BF134" s="162" t="s">
        <v>1425</v>
      </c>
    </row>
    <row r="135" spans="1:58">
      <c r="A135" s="159">
        <f t="shared" si="86"/>
        <v>43</v>
      </c>
      <c r="B135" s="159">
        <f t="shared" si="87"/>
        <v>5</v>
      </c>
      <c r="C135" s="190" t="str">
        <f t="shared" si="77"/>
        <v>4305</v>
      </c>
      <c r="D135" s="159" t="s">
        <v>522</v>
      </c>
      <c r="E135" s="163">
        <v>2013</v>
      </c>
      <c r="F135" s="162" t="s">
        <v>1964</v>
      </c>
      <c r="G135" s="182" t="s">
        <v>330</v>
      </c>
      <c r="H135" s="163" t="str">
        <f t="shared" si="78"/>
        <v>UM</v>
      </c>
      <c r="I135" s="163" t="s">
        <v>157</v>
      </c>
      <c r="J135" s="162" t="s">
        <v>183</v>
      </c>
      <c r="K135" s="162" t="s">
        <v>151</v>
      </c>
      <c r="L135" s="162" t="s">
        <v>352</v>
      </c>
      <c r="M135" s="162" t="s">
        <v>2014</v>
      </c>
      <c r="N135" s="163" t="s">
        <v>148</v>
      </c>
      <c r="O135" s="162" t="s">
        <v>1979</v>
      </c>
      <c r="P135" s="162" t="s">
        <v>154</v>
      </c>
      <c r="Q135" s="162" t="s">
        <v>155</v>
      </c>
      <c r="R135" s="163">
        <v>2008</v>
      </c>
      <c r="S135" s="194">
        <v>20</v>
      </c>
      <c r="T135" s="194">
        <f>IF(ISNUMBER(S135),S135/VLOOKUP($Q135,xRates!$A$1:$AA$267,studies!$R135-xRates!$B$1+2,FALSE),S135)</f>
        <v>20</v>
      </c>
      <c r="V135" s="194"/>
      <c r="W135" s="163" t="s">
        <v>157</v>
      </c>
      <c r="X135" s="163" t="s">
        <v>157</v>
      </c>
      <c r="Y135" s="163" t="s">
        <v>148</v>
      </c>
      <c r="Z135" s="163" t="s">
        <v>148</v>
      </c>
      <c r="AA135" s="163" t="s">
        <v>148</v>
      </c>
      <c r="AB135" s="163" t="s">
        <v>159</v>
      </c>
      <c r="AC135" s="196">
        <v>7088.64</v>
      </c>
      <c r="AD135" s="196">
        <v>7088.64</v>
      </c>
      <c r="AE135" s="192" t="str">
        <f t="shared" si="88"/>
        <v>No</v>
      </c>
      <c r="AF135" s="196">
        <f t="shared" si="79"/>
        <v>8831.1836430000003</v>
      </c>
      <c r="AG135" s="159" t="str">
        <f t="shared" si="89"/>
        <v>Cost-effective</v>
      </c>
      <c r="AH135" s="159" t="str">
        <f t="shared" si="90"/>
        <v>Cost-effective</v>
      </c>
      <c r="AI135" s="198">
        <f t="shared" si="91"/>
        <v>0.80268288901666995</v>
      </c>
      <c r="AJ135" s="198">
        <f t="shared" si="80"/>
        <v>1.0900000000000001</v>
      </c>
      <c r="AK135" s="159" t="str">
        <f t="shared" si="92"/>
        <v>Cost-effective</v>
      </c>
      <c r="AL135" s="198">
        <f t="shared" si="81"/>
        <v>0.71</v>
      </c>
      <c r="AM135" s="162" t="str">
        <f t="shared" si="93"/>
        <v>Not cost-effective</v>
      </c>
      <c r="AN135" s="198">
        <f t="shared" si="82"/>
        <v>0.61331405073457201</v>
      </c>
      <c r="AO135" s="159" t="str">
        <f t="shared" si="94"/>
        <v>Not cost-effective</v>
      </c>
      <c r="AP135" s="198">
        <f t="shared" si="83"/>
        <v>0.19454672897770822</v>
      </c>
      <c r="AQ135" s="159" t="str">
        <f t="shared" si="95"/>
        <v>Not cost-effective</v>
      </c>
      <c r="AR135" s="198">
        <f t="shared" si="84"/>
        <v>1.6739433928535268</v>
      </c>
      <c r="AS135" s="159" t="str">
        <f t="shared" si="96"/>
        <v>Cost-effective</v>
      </c>
      <c r="AT135" s="198">
        <f t="shared" si="85"/>
        <v>0.69378626051328196</v>
      </c>
      <c r="AU135" s="159" t="str">
        <f t="shared" si="97"/>
        <v>Not cost-effective</v>
      </c>
      <c r="AV135" s="162" t="s">
        <v>173</v>
      </c>
      <c r="AW135" s="162" t="s">
        <v>1995</v>
      </c>
      <c r="AX135" s="168">
        <f t="shared" si="98"/>
        <v>0</v>
      </c>
      <c r="AY135" s="168">
        <f t="shared" si="99"/>
        <v>1</v>
      </c>
      <c r="AZ135" s="163">
        <f t="shared" si="100"/>
        <v>1</v>
      </c>
      <c r="BA135" s="163">
        <f t="shared" si="101"/>
        <v>1</v>
      </c>
      <c r="BB135" s="163">
        <f t="shared" si="102"/>
        <v>0</v>
      </c>
      <c r="BC135" s="163">
        <f t="shared" si="103"/>
        <v>1</v>
      </c>
      <c r="BD135" s="163">
        <f t="shared" si="104"/>
        <v>4</v>
      </c>
      <c r="BE135" s="163" t="s">
        <v>157</v>
      </c>
      <c r="BF135" s="162" t="s">
        <v>1425</v>
      </c>
    </row>
    <row r="136" spans="1:58">
      <c r="A136" s="159">
        <f t="shared" si="86"/>
        <v>43</v>
      </c>
      <c r="B136" s="159">
        <f t="shared" si="87"/>
        <v>6</v>
      </c>
      <c r="C136" s="190" t="str">
        <f t="shared" si="77"/>
        <v>4306</v>
      </c>
      <c r="D136" s="159" t="s">
        <v>522</v>
      </c>
      <c r="E136" s="163">
        <v>2013</v>
      </c>
      <c r="F136" s="162" t="s">
        <v>1964</v>
      </c>
      <c r="G136" s="182" t="s">
        <v>330</v>
      </c>
      <c r="H136" s="163" t="str">
        <f t="shared" si="78"/>
        <v>UM</v>
      </c>
      <c r="I136" s="163" t="s">
        <v>157</v>
      </c>
      <c r="J136" s="162" t="s">
        <v>183</v>
      </c>
      <c r="K136" s="162" t="s">
        <v>151</v>
      </c>
      <c r="L136" s="162" t="s">
        <v>352</v>
      </c>
      <c r="M136" s="162" t="s">
        <v>2014</v>
      </c>
      <c r="N136" s="163" t="s">
        <v>157</v>
      </c>
      <c r="O136" s="162" t="s">
        <v>153</v>
      </c>
      <c r="P136" s="162" t="s">
        <v>154</v>
      </c>
      <c r="Q136" s="162" t="s">
        <v>155</v>
      </c>
      <c r="R136" s="163">
        <v>2008</v>
      </c>
      <c r="S136" s="194">
        <v>20</v>
      </c>
      <c r="T136" s="194">
        <f>IF(ISNUMBER(S136),S136/VLOOKUP($Q136,xRates!$A$1:$AA$267,studies!$R136-xRates!$B$1+2,FALSE),S136)</f>
        <v>20</v>
      </c>
      <c r="V136" s="194"/>
      <c r="W136" s="163" t="s">
        <v>157</v>
      </c>
      <c r="X136" s="163" t="s">
        <v>157</v>
      </c>
      <c r="Y136" s="163" t="s">
        <v>148</v>
      </c>
      <c r="Z136" s="163" t="s">
        <v>148</v>
      </c>
      <c r="AA136" s="163" t="s">
        <v>148</v>
      </c>
      <c r="AB136" s="163" t="s">
        <v>159</v>
      </c>
      <c r="AC136" s="196">
        <v>4810.99</v>
      </c>
      <c r="AD136" s="196">
        <v>4810.99</v>
      </c>
      <c r="AE136" s="192" t="str">
        <f t="shared" si="88"/>
        <v>No</v>
      </c>
      <c r="AF136" s="196">
        <f t="shared" si="79"/>
        <v>8831.1836430000003</v>
      </c>
      <c r="AG136" s="159" t="str">
        <f t="shared" si="89"/>
        <v>Cost-effective</v>
      </c>
      <c r="AH136" s="159" t="str">
        <f t="shared" si="90"/>
        <v>Cost-effective</v>
      </c>
      <c r="AI136" s="198">
        <f t="shared" si="91"/>
        <v>0.54477295394184333</v>
      </c>
      <c r="AJ136" s="198">
        <f t="shared" si="80"/>
        <v>1.0900000000000001</v>
      </c>
      <c r="AK136" s="159" t="str">
        <f t="shared" si="92"/>
        <v>Cost-effective</v>
      </c>
      <c r="AL136" s="198">
        <f t="shared" si="81"/>
        <v>0.71</v>
      </c>
      <c r="AM136" s="162" t="str">
        <f t="shared" si="93"/>
        <v>Cost-effective</v>
      </c>
      <c r="AN136" s="198">
        <f t="shared" si="82"/>
        <v>0.61331405073457201</v>
      </c>
      <c r="AO136" s="159" t="str">
        <f t="shared" si="94"/>
        <v>Cost-effective</v>
      </c>
      <c r="AP136" s="198">
        <f t="shared" si="83"/>
        <v>0.19454672897770822</v>
      </c>
      <c r="AQ136" s="159" t="str">
        <f t="shared" si="95"/>
        <v>Not cost-effective</v>
      </c>
      <c r="AR136" s="198">
        <f t="shared" si="84"/>
        <v>1.6739433928535268</v>
      </c>
      <c r="AS136" s="159" t="str">
        <f t="shared" si="96"/>
        <v>Cost-effective</v>
      </c>
      <c r="AT136" s="198">
        <f t="shared" si="85"/>
        <v>0.69378626051328196</v>
      </c>
      <c r="AU136" s="159" t="str">
        <f t="shared" si="97"/>
        <v>Cost-effective</v>
      </c>
      <c r="AV136" s="162" t="s">
        <v>173</v>
      </c>
      <c r="AW136" s="162" t="s">
        <v>1995</v>
      </c>
      <c r="AX136" s="168">
        <f t="shared" si="98"/>
        <v>0</v>
      </c>
      <c r="AY136" s="168">
        <f t="shared" si="99"/>
        <v>0</v>
      </c>
      <c r="AZ136" s="163">
        <f t="shared" si="100"/>
        <v>0</v>
      </c>
      <c r="BA136" s="163">
        <f t="shared" si="101"/>
        <v>1</v>
      </c>
      <c r="BB136" s="163">
        <f t="shared" si="102"/>
        <v>0</v>
      </c>
      <c r="BC136" s="163">
        <f t="shared" si="103"/>
        <v>0</v>
      </c>
      <c r="BD136" s="163">
        <f t="shared" si="104"/>
        <v>1</v>
      </c>
      <c r="BE136" s="163" t="s">
        <v>157</v>
      </c>
      <c r="BF136" s="162" t="s">
        <v>1425</v>
      </c>
    </row>
    <row r="137" spans="1:58">
      <c r="A137" s="159">
        <f t="shared" si="86"/>
        <v>43</v>
      </c>
      <c r="B137" s="159">
        <f t="shared" si="87"/>
        <v>7</v>
      </c>
      <c r="C137" s="190" t="str">
        <f t="shared" si="77"/>
        <v>4307</v>
      </c>
      <c r="D137" s="159" t="s">
        <v>522</v>
      </c>
      <c r="E137" s="163">
        <v>2013</v>
      </c>
      <c r="F137" s="162" t="s">
        <v>1964</v>
      </c>
      <c r="G137" s="182" t="s">
        <v>330</v>
      </c>
      <c r="H137" s="163" t="str">
        <f t="shared" si="78"/>
        <v>UM</v>
      </c>
      <c r="I137" s="163" t="s">
        <v>157</v>
      </c>
      <c r="J137" s="162" t="s">
        <v>183</v>
      </c>
      <c r="K137" s="162" t="s">
        <v>151</v>
      </c>
      <c r="L137" s="162" t="s">
        <v>352</v>
      </c>
      <c r="M137" s="162" t="s">
        <v>2014</v>
      </c>
      <c r="N137" s="163" t="s">
        <v>157</v>
      </c>
      <c r="O137" s="162" t="s">
        <v>1979</v>
      </c>
      <c r="P137" s="162" t="s">
        <v>154</v>
      </c>
      <c r="Q137" s="162" t="s">
        <v>155</v>
      </c>
      <c r="R137" s="163">
        <v>2008</v>
      </c>
      <c r="S137" s="194">
        <v>20</v>
      </c>
      <c r="T137" s="194">
        <f>IF(ISNUMBER(S137),S137/VLOOKUP($Q137,xRates!$A$1:$AA$267,studies!$R137-xRates!$B$1+2,FALSE),S137)</f>
        <v>20</v>
      </c>
      <c r="V137" s="194"/>
      <c r="W137" s="163" t="s">
        <v>148</v>
      </c>
      <c r="X137" s="163" t="s">
        <v>157</v>
      </c>
      <c r="Y137" s="163" t="s">
        <v>148</v>
      </c>
      <c r="Z137" s="163" t="s">
        <v>148</v>
      </c>
      <c r="AA137" s="163" t="s">
        <v>148</v>
      </c>
      <c r="AB137" s="163" t="s">
        <v>159</v>
      </c>
      <c r="AC137" s="196">
        <v>6293.05</v>
      </c>
      <c r="AD137" s="196">
        <v>6293.05</v>
      </c>
      <c r="AE137" s="192" t="str">
        <f t="shared" si="88"/>
        <v>No</v>
      </c>
      <c r="AF137" s="196">
        <f t="shared" si="79"/>
        <v>8831.1836430000003</v>
      </c>
      <c r="AG137" s="159" t="str">
        <f t="shared" si="89"/>
        <v>Cost-effective</v>
      </c>
      <c r="AH137" s="159" t="str">
        <f t="shared" si="90"/>
        <v>Cost-effective</v>
      </c>
      <c r="AI137" s="198">
        <f t="shared" si="91"/>
        <v>0.71259417246839374</v>
      </c>
      <c r="AJ137" s="198">
        <f t="shared" si="80"/>
        <v>1.0900000000000001</v>
      </c>
      <c r="AK137" s="159" t="str">
        <f t="shared" si="92"/>
        <v>Cost-effective</v>
      </c>
      <c r="AL137" s="198">
        <f t="shared" si="81"/>
        <v>0.71</v>
      </c>
      <c r="AM137" s="162" t="str">
        <f t="shared" si="93"/>
        <v>Not cost-effective</v>
      </c>
      <c r="AN137" s="198">
        <f t="shared" si="82"/>
        <v>0.61331405073457201</v>
      </c>
      <c r="AO137" s="159" t="str">
        <f t="shared" si="94"/>
        <v>Not cost-effective</v>
      </c>
      <c r="AP137" s="198">
        <f t="shared" si="83"/>
        <v>0.19454672897770822</v>
      </c>
      <c r="AQ137" s="159" t="str">
        <f t="shared" si="95"/>
        <v>Not cost-effective</v>
      </c>
      <c r="AR137" s="198">
        <f t="shared" si="84"/>
        <v>1.6739433928535268</v>
      </c>
      <c r="AS137" s="159" t="str">
        <f t="shared" si="96"/>
        <v>Cost-effective</v>
      </c>
      <c r="AT137" s="198">
        <f t="shared" si="85"/>
        <v>0.69378626051328196</v>
      </c>
      <c r="AU137" s="159" t="str">
        <f t="shared" si="97"/>
        <v>Not cost-effective</v>
      </c>
      <c r="AV137" s="162" t="s">
        <v>173</v>
      </c>
      <c r="AW137" s="162" t="s">
        <v>1995</v>
      </c>
      <c r="AX137" s="168">
        <f t="shared" si="98"/>
        <v>0</v>
      </c>
      <c r="AY137" s="168">
        <f t="shared" si="99"/>
        <v>1</v>
      </c>
      <c r="AZ137" s="163">
        <f t="shared" si="100"/>
        <v>1</v>
      </c>
      <c r="BA137" s="163">
        <f t="shared" si="101"/>
        <v>1</v>
      </c>
      <c r="BB137" s="163">
        <f t="shared" si="102"/>
        <v>0</v>
      </c>
      <c r="BC137" s="163">
        <f t="shared" si="103"/>
        <v>1</v>
      </c>
      <c r="BD137" s="163">
        <f t="shared" si="104"/>
        <v>4</v>
      </c>
      <c r="BE137" s="163" t="s">
        <v>157</v>
      </c>
      <c r="BF137" s="162" t="s">
        <v>1425</v>
      </c>
    </row>
    <row r="138" spans="1:58">
      <c r="A138" s="159">
        <f t="shared" si="86"/>
        <v>43</v>
      </c>
      <c r="B138" s="159">
        <f t="shared" si="87"/>
        <v>8</v>
      </c>
      <c r="C138" s="190" t="str">
        <f t="shared" si="77"/>
        <v>4308</v>
      </c>
      <c r="D138" s="159" t="s">
        <v>522</v>
      </c>
      <c r="E138" s="163">
        <v>2013</v>
      </c>
      <c r="F138" s="162" t="s">
        <v>1964</v>
      </c>
      <c r="G138" s="182" t="s">
        <v>330</v>
      </c>
      <c r="H138" s="163" t="str">
        <f t="shared" si="78"/>
        <v>UM</v>
      </c>
      <c r="I138" s="163" t="s">
        <v>157</v>
      </c>
      <c r="J138" s="162" t="s">
        <v>183</v>
      </c>
      <c r="K138" s="162" t="s">
        <v>151</v>
      </c>
      <c r="L138" s="162" t="s">
        <v>352</v>
      </c>
      <c r="M138" s="162" t="s">
        <v>2014</v>
      </c>
      <c r="N138" s="163" t="s">
        <v>157</v>
      </c>
      <c r="O138" s="162" t="s">
        <v>1979</v>
      </c>
      <c r="P138" s="162" t="s">
        <v>154</v>
      </c>
      <c r="Q138" s="162" t="s">
        <v>155</v>
      </c>
      <c r="R138" s="163">
        <v>2008</v>
      </c>
      <c r="S138" s="194">
        <v>20</v>
      </c>
      <c r="T138" s="194">
        <f>IF(ISNUMBER(S138),S138/VLOOKUP($Q138,xRates!$A$1:$AA$267,studies!$R138-xRates!$B$1+2,FALSE),S138)</f>
        <v>20</v>
      </c>
      <c r="V138" s="194"/>
      <c r="W138" s="163" t="s">
        <v>148</v>
      </c>
      <c r="X138" s="163" t="s">
        <v>148</v>
      </c>
      <c r="Y138" s="163" t="s">
        <v>148</v>
      </c>
      <c r="Z138" s="163" t="s">
        <v>148</v>
      </c>
      <c r="AA138" s="163" t="s">
        <v>148</v>
      </c>
      <c r="AB138" s="163" t="s">
        <v>159</v>
      </c>
      <c r="AC138" s="196">
        <v>4024.69</v>
      </c>
      <c r="AD138" s="196">
        <v>4024.69</v>
      </c>
      <c r="AE138" s="192" t="str">
        <f t="shared" si="88"/>
        <v>No</v>
      </c>
      <c r="AF138" s="196">
        <f t="shared" si="79"/>
        <v>8831.1836430000003</v>
      </c>
      <c r="AG138" s="159" t="str">
        <f t="shared" si="89"/>
        <v>Cost-effective</v>
      </c>
      <c r="AH138" s="159" t="str">
        <f t="shared" si="90"/>
        <v>Cost-effective</v>
      </c>
      <c r="AI138" s="198">
        <f t="shared" si="91"/>
        <v>0.45573619151155953</v>
      </c>
      <c r="AJ138" s="198">
        <f t="shared" si="80"/>
        <v>1.0900000000000001</v>
      </c>
      <c r="AK138" s="159" t="str">
        <f t="shared" si="92"/>
        <v>Cost-effective</v>
      </c>
      <c r="AL138" s="198">
        <f t="shared" si="81"/>
        <v>0.71</v>
      </c>
      <c r="AM138" s="162" t="str">
        <f t="shared" si="93"/>
        <v>Cost-effective</v>
      </c>
      <c r="AN138" s="198">
        <f t="shared" si="82"/>
        <v>0.61331405073457201</v>
      </c>
      <c r="AO138" s="159" t="str">
        <f t="shared" si="94"/>
        <v>Cost-effective</v>
      </c>
      <c r="AP138" s="198">
        <f t="shared" si="83"/>
        <v>0.19454672897770822</v>
      </c>
      <c r="AQ138" s="159" t="str">
        <f t="shared" si="95"/>
        <v>Not cost-effective</v>
      </c>
      <c r="AR138" s="198">
        <f t="shared" si="84"/>
        <v>1.6739433928535268</v>
      </c>
      <c r="AS138" s="159" t="str">
        <f t="shared" si="96"/>
        <v>Cost-effective</v>
      </c>
      <c r="AT138" s="198">
        <f t="shared" si="85"/>
        <v>0.69378626051328196</v>
      </c>
      <c r="AU138" s="159" t="str">
        <f t="shared" si="97"/>
        <v>Cost-effective</v>
      </c>
      <c r="AV138" s="162" t="s">
        <v>173</v>
      </c>
      <c r="AW138" s="162" t="s">
        <v>1995</v>
      </c>
      <c r="AX138" s="168">
        <f t="shared" si="98"/>
        <v>0</v>
      </c>
      <c r="AY138" s="168">
        <f t="shared" si="99"/>
        <v>0</v>
      </c>
      <c r="AZ138" s="163">
        <f t="shared" si="100"/>
        <v>0</v>
      </c>
      <c r="BA138" s="163">
        <f t="shared" si="101"/>
        <v>1</v>
      </c>
      <c r="BB138" s="163">
        <f t="shared" si="102"/>
        <v>0</v>
      </c>
      <c r="BC138" s="163">
        <f t="shared" si="103"/>
        <v>0</v>
      </c>
      <c r="BD138" s="163">
        <f t="shared" si="104"/>
        <v>1</v>
      </c>
      <c r="BE138" s="163" t="s">
        <v>157</v>
      </c>
      <c r="BF138" s="162" t="s">
        <v>1425</v>
      </c>
    </row>
    <row r="139" spans="1:58">
      <c r="A139" s="159">
        <f t="shared" si="86"/>
        <v>43</v>
      </c>
      <c r="B139" s="159">
        <f t="shared" si="87"/>
        <v>9</v>
      </c>
      <c r="C139" s="190" t="str">
        <f t="shared" si="77"/>
        <v>4309</v>
      </c>
      <c r="D139" s="159" t="s">
        <v>522</v>
      </c>
      <c r="E139" s="163">
        <v>2013</v>
      </c>
      <c r="F139" s="162" t="s">
        <v>1964</v>
      </c>
      <c r="G139" s="182" t="s">
        <v>421</v>
      </c>
      <c r="H139" s="163" t="str">
        <f t="shared" si="78"/>
        <v>UM</v>
      </c>
      <c r="I139" s="163" t="s">
        <v>157</v>
      </c>
      <c r="J139" s="162" t="s">
        <v>183</v>
      </c>
      <c r="K139" s="162" t="s">
        <v>151</v>
      </c>
      <c r="L139" s="162" t="s">
        <v>352</v>
      </c>
      <c r="M139" s="162" t="s">
        <v>2014</v>
      </c>
      <c r="N139" s="163" t="s">
        <v>148</v>
      </c>
      <c r="O139" s="162" t="s">
        <v>1979</v>
      </c>
      <c r="P139" s="162" t="s">
        <v>154</v>
      </c>
      <c r="Q139" s="162" t="s">
        <v>155</v>
      </c>
      <c r="R139" s="163">
        <v>2008</v>
      </c>
      <c r="S139" s="194">
        <v>20</v>
      </c>
      <c r="T139" s="194">
        <f>IF(ISNUMBER(S139),S139/VLOOKUP($Q139,xRates!$A$1:$AA$267,studies!$R139-xRates!$B$1+2,FALSE),S139)</f>
        <v>20</v>
      </c>
      <c r="V139" s="194"/>
      <c r="W139" s="163" t="s">
        <v>157</v>
      </c>
      <c r="X139" s="163" t="s">
        <v>157</v>
      </c>
      <c r="Y139" s="163" t="s">
        <v>148</v>
      </c>
      <c r="Z139" s="163" t="s">
        <v>148</v>
      </c>
      <c r="AA139" s="163" t="s">
        <v>148</v>
      </c>
      <c r="AB139" s="163" t="s">
        <v>159</v>
      </c>
      <c r="AC139" s="196">
        <v>4021.37</v>
      </c>
      <c r="AD139" s="196">
        <v>4021.37</v>
      </c>
      <c r="AE139" s="192" t="str">
        <f t="shared" si="88"/>
        <v>No</v>
      </c>
      <c r="AF139" s="196">
        <f t="shared" si="79"/>
        <v>5472.5365300000003</v>
      </c>
      <c r="AG139" s="159" t="str">
        <f t="shared" si="89"/>
        <v>Cost-effective</v>
      </c>
      <c r="AH139" s="159" t="str">
        <f t="shared" si="90"/>
        <v>Cost-effective</v>
      </c>
      <c r="AI139" s="198">
        <f t="shared" si="91"/>
        <v>0.73482743842004095</v>
      </c>
      <c r="AJ139" s="198">
        <f t="shared" si="80"/>
        <v>1.89</v>
      </c>
      <c r="AK139" s="159" t="str">
        <f t="shared" si="92"/>
        <v>Cost-effective</v>
      </c>
      <c r="AL139" s="198">
        <f t="shared" si="81"/>
        <v>1.17</v>
      </c>
      <c r="AM139" s="162" t="str">
        <f t="shared" si="93"/>
        <v>Cost-effective</v>
      </c>
      <c r="AN139" s="198">
        <f t="shared" si="82"/>
        <v>0.67142448878179284</v>
      </c>
      <c r="AO139" s="159" t="str">
        <f t="shared" si="94"/>
        <v>Not cost-effective</v>
      </c>
      <c r="AP139" s="198">
        <f t="shared" si="83"/>
        <v>0.16670017209696561</v>
      </c>
      <c r="AQ139" s="159" t="str">
        <f t="shared" si="95"/>
        <v>Not cost-effective</v>
      </c>
      <c r="AR139" s="198">
        <f t="shared" si="84"/>
        <v>1.3237396338136047</v>
      </c>
      <c r="AS139" s="159" t="str">
        <f t="shared" si="96"/>
        <v>Cost-effective</v>
      </c>
      <c r="AT139" s="198">
        <f t="shared" si="85"/>
        <v>0.54863988350299309</v>
      </c>
      <c r="AU139" s="159" t="str">
        <f t="shared" si="97"/>
        <v>Not cost-effective</v>
      </c>
      <c r="AV139" s="162" t="s">
        <v>173</v>
      </c>
      <c r="AW139" s="162" t="s">
        <v>1995</v>
      </c>
      <c r="AX139" s="168">
        <f t="shared" si="98"/>
        <v>0</v>
      </c>
      <c r="AY139" s="168">
        <f t="shared" si="99"/>
        <v>0</v>
      </c>
      <c r="AZ139" s="163">
        <f t="shared" si="100"/>
        <v>1</v>
      </c>
      <c r="BA139" s="163">
        <f t="shared" si="101"/>
        <v>1</v>
      </c>
      <c r="BB139" s="163">
        <f t="shared" si="102"/>
        <v>0</v>
      </c>
      <c r="BC139" s="163">
        <f t="shared" si="103"/>
        <v>1</v>
      </c>
      <c r="BD139" s="163">
        <f t="shared" si="104"/>
        <v>3</v>
      </c>
      <c r="BE139" s="163" t="s">
        <v>157</v>
      </c>
      <c r="BF139" s="162" t="s">
        <v>1425</v>
      </c>
    </row>
    <row r="140" spans="1:58">
      <c r="A140" s="159">
        <f t="shared" si="86"/>
        <v>43</v>
      </c>
      <c r="B140" s="159">
        <f t="shared" si="87"/>
        <v>10</v>
      </c>
      <c r="C140" s="190" t="str">
        <f t="shared" si="77"/>
        <v>4310</v>
      </c>
      <c r="D140" s="159" t="s">
        <v>522</v>
      </c>
      <c r="E140" s="163">
        <v>2013</v>
      </c>
      <c r="F140" s="162" t="s">
        <v>1964</v>
      </c>
      <c r="G140" s="182" t="s">
        <v>421</v>
      </c>
      <c r="H140" s="163" t="str">
        <f t="shared" si="78"/>
        <v>UM</v>
      </c>
      <c r="I140" s="163" t="s">
        <v>157</v>
      </c>
      <c r="J140" s="162" t="s">
        <v>183</v>
      </c>
      <c r="K140" s="162" t="s">
        <v>151</v>
      </c>
      <c r="L140" s="162" t="s">
        <v>352</v>
      </c>
      <c r="M140" s="162" t="s">
        <v>2014</v>
      </c>
      <c r="N140" s="163" t="s">
        <v>157</v>
      </c>
      <c r="O140" s="162" t="s">
        <v>153</v>
      </c>
      <c r="P140" s="162" t="s">
        <v>154</v>
      </c>
      <c r="Q140" s="162" t="s">
        <v>155</v>
      </c>
      <c r="R140" s="163">
        <v>2008</v>
      </c>
      <c r="S140" s="194">
        <v>20</v>
      </c>
      <c r="T140" s="194">
        <f>IF(ISNUMBER(S140),S140/VLOOKUP($Q140,xRates!$A$1:$AA$267,studies!$R140-xRates!$B$1+2,FALSE),S140)</f>
        <v>20</v>
      </c>
      <c r="V140" s="194"/>
      <c r="W140" s="163" t="s">
        <v>157</v>
      </c>
      <c r="X140" s="163" t="s">
        <v>157</v>
      </c>
      <c r="Y140" s="163" t="s">
        <v>148</v>
      </c>
      <c r="Z140" s="163" t="s">
        <v>148</v>
      </c>
      <c r="AA140" s="163" t="s">
        <v>148</v>
      </c>
      <c r="AB140" s="163" t="s">
        <v>159</v>
      </c>
      <c r="AC140" s="196">
        <v>2433.3200000000002</v>
      </c>
      <c r="AD140" s="196">
        <v>2433.3200000000002</v>
      </c>
      <c r="AE140" s="192" t="str">
        <f t="shared" si="88"/>
        <v>No</v>
      </c>
      <c r="AF140" s="196">
        <f t="shared" si="79"/>
        <v>5472.5365300000003</v>
      </c>
      <c r="AG140" s="159" t="str">
        <f t="shared" si="89"/>
        <v>Cost-effective</v>
      </c>
      <c r="AH140" s="159" t="str">
        <f t="shared" si="90"/>
        <v>Cost-effective</v>
      </c>
      <c r="AI140" s="198">
        <f t="shared" si="91"/>
        <v>0.44464207532663103</v>
      </c>
      <c r="AJ140" s="198">
        <f t="shared" si="80"/>
        <v>1.89</v>
      </c>
      <c r="AK140" s="159" t="str">
        <f t="shared" si="92"/>
        <v>Cost-effective</v>
      </c>
      <c r="AL140" s="198">
        <f t="shared" si="81"/>
        <v>1.17</v>
      </c>
      <c r="AM140" s="162" t="str">
        <f t="shared" si="93"/>
        <v>Cost-effective</v>
      </c>
      <c r="AN140" s="198">
        <f t="shared" si="82"/>
        <v>0.67142448878179284</v>
      </c>
      <c r="AO140" s="159" t="str">
        <f t="shared" si="94"/>
        <v>Cost-effective</v>
      </c>
      <c r="AP140" s="198">
        <f t="shared" si="83"/>
        <v>0.16670017209696561</v>
      </c>
      <c r="AQ140" s="159" t="str">
        <f t="shared" si="95"/>
        <v>Not cost-effective</v>
      </c>
      <c r="AR140" s="198">
        <f t="shared" si="84"/>
        <v>1.3237396338136047</v>
      </c>
      <c r="AS140" s="159" t="str">
        <f t="shared" si="96"/>
        <v>Cost-effective</v>
      </c>
      <c r="AT140" s="198">
        <f t="shared" si="85"/>
        <v>0.54863988350299309</v>
      </c>
      <c r="AU140" s="159" t="str">
        <f t="shared" si="97"/>
        <v>Cost-effective</v>
      </c>
      <c r="AV140" s="162" t="s">
        <v>173</v>
      </c>
      <c r="AW140" s="162" t="s">
        <v>1995</v>
      </c>
      <c r="AX140" s="168">
        <f t="shared" si="98"/>
        <v>0</v>
      </c>
      <c r="AY140" s="168">
        <f t="shared" si="99"/>
        <v>0</v>
      </c>
      <c r="AZ140" s="163">
        <f t="shared" si="100"/>
        <v>0</v>
      </c>
      <c r="BA140" s="163">
        <f t="shared" si="101"/>
        <v>1</v>
      </c>
      <c r="BB140" s="163">
        <f t="shared" si="102"/>
        <v>0</v>
      </c>
      <c r="BC140" s="163">
        <f t="shared" si="103"/>
        <v>0</v>
      </c>
      <c r="BD140" s="163">
        <f t="shared" si="104"/>
        <v>1</v>
      </c>
      <c r="BE140" s="163" t="s">
        <v>157</v>
      </c>
      <c r="BF140" s="162" t="s">
        <v>1425</v>
      </c>
    </row>
    <row r="141" spans="1:58">
      <c r="A141" s="159">
        <f t="shared" si="86"/>
        <v>43</v>
      </c>
      <c r="B141" s="159">
        <f t="shared" si="87"/>
        <v>11</v>
      </c>
      <c r="C141" s="190" t="str">
        <f t="shared" si="77"/>
        <v>4311</v>
      </c>
      <c r="D141" s="159" t="s">
        <v>522</v>
      </c>
      <c r="E141" s="163">
        <v>2013</v>
      </c>
      <c r="F141" s="162" t="s">
        <v>1964</v>
      </c>
      <c r="G141" s="182" t="s">
        <v>421</v>
      </c>
      <c r="H141" s="163" t="str">
        <f t="shared" si="78"/>
        <v>UM</v>
      </c>
      <c r="I141" s="163" t="s">
        <v>157</v>
      </c>
      <c r="J141" s="162" t="s">
        <v>183</v>
      </c>
      <c r="K141" s="162" t="s">
        <v>151</v>
      </c>
      <c r="L141" s="162" t="s">
        <v>352</v>
      </c>
      <c r="M141" s="162" t="s">
        <v>2014</v>
      </c>
      <c r="N141" s="163" t="s">
        <v>157</v>
      </c>
      <c r="O141" s="162" t="s">
        <v>1979</v>
      </c>
      <c r="P141" s="162" t="s">
        <v>154</v>
      </c>
      <c r="Q141" s="162" t="s">
        <v>155</v>
      </c>
      <c r="R141" s="163">
        <v>2008</v>
      </c>
      <c r="S141" s="194">
        <v>20</v>
      </c>
      <c r="T141" s="194">
        <f>IF(ISNUMBER(S141),S141/VLOOKUP($Q141,xRates!$A$1:$AA$267,studies!$R141-xRates!$B$1+2,FALSE),S141)</f>
        <v>20</v>
      </c>
      <c r="V141" s="194"/>
      <c r="W141" s="163" t="s">
        <v>148</v>
      </c>
      <c r="X141" s="163" t="s">
        <v>157</v>
      </c>
      <c r="Y141" s="163" t="s">
        <v>148</v>
      </c>
      <c r="Z141" s="163" t="s">
        <v>148</v>
      </c>
      <c r="AA141" s="163" t="s">
        <v>148</v>
      </c>
      <c r="AB141" s="163" t="s">
        <v>159</v>
      </c>
      <c r="AC141" s="196">
        <v>3885.8</v>
      </c>
      <c r="AD141" s="196">
        <v>3885.8</v>
      </c>
      <c r="AE141" s="192" t="str">
        <f t="shared" si="88"/>
        <v>No</v>
      </c>
      <c r="AF141" s="196">
        <f t="shared" si="79"/>
        <v>5472.5365300000003</v>
      </c>
      <c r="AG141" s="159" t="str">
        <f t="shared" si="89"/>
        <v>Cost-effective</v>
      </c>
      <c r="AH141" s="159" t="str">
        <f t="shared" si="90"/>
        <v>Cost-effective</v>
      </c>
      <c r="AI141" s="198">
        <f t="shared" si="91"/>
        <v>0.71005464809569763</v>
      </c>
      <c r="AJ141" s="198">
        <f t="shared" si="80"/>
        <v>1.89</v>
      </c>
      <c r="AK141" s="159" t="str">
        <f t="shared" si="92"/>
        <v>Cost-effective</v>
      </c>
      <c r="AL141" s="198">
        <f t="shared" si="81"/>
        <v>1.17</v>
      </c>
      <c r="AM141" s="162" t="str">
        <f t="shared" si="93"/>
        <v>Cost-effective</v>
      </c>
      <c r="AN141" s="198">
        <f t="shared" si="82"/>
        <v>0.67142448878179284</v>
      </c>
      <c r="AO141" s="159" t="str">
        <f t="shared" si="94"/>
        <v>Not cost-effective</v>
      </c>
      <c r="AP141" s="198">
        <f t="shared" si="83"/>
        <v>0.16670017209696561</v>
      </c>
      <c r="AQ141" s="159" t="str">
        <f t="shared" si="95"/>
        <v>Not cost-effective</v>
      </c>
      <c r="AR141" s="198">
        <f t="shared" si="84"/>
        <v>1.3237396338136047</v>
      </c>
      <c r="AS141" s="159" t="str">
        <f t="shared" si="96"/>
        <v>Cost-effective</v>
      </c>
      <c r="AT141" s="198">
        <f t="shared" si="85"/>
        <v>0.54863988350299309</v>
      </c>
      <c r="AU141" s="159" t="str">
        <f t="shared" si="97"/>
        <v>Not cost-effective</v>
      </c>
      <c r="AV141" s="162" t="s">
        <v>173</v>
      </c>
      <c r="AW141" s="162" t="s">
        <v>1995</v>
      </c>
      <c r="AX141" s="168">
        <f t="shared" si="98"/>
        <v>0</v>
      </c>
      <c r="AY141" s="168">
        <f t="shared" si="99"/>
        <v>0</v>
      </c>
      <c r="AZ141" s="163">
        <f t="shared" si="100"/>
        <v>1</v>
      </c>
      <c r="BA141" s="163">
        <f t="shared" si="101"/>
        <v>1</v>
      </c>
      <c r="BB141" s="163">
        <f t="shared" si="102"/>
        <v>0</v>
      </c>
      <c r="BC141" s="163">
        <f t="shared" si="103"/>
        <v>1</v>
      </c>
      <c r="BD141" s="163">
        <f t="shared" si="104"/>
        <v>3</v>
      </c>
      <c r="BE141" s="163" t="s">
        <v>157</v>
      </c>
      <c r="BF141" s="162" t="s">
        <v>1425</v>
      </c>
    </row>
    <row r="142" spans="1:58">
      <c r="A142" s="159">
        <f t="shared" si="86"/>
        <v>43</v>
      </c>
      <c r="B142" s="159">
        <f t="shared" si="87"/>
        <v>12</v>
      </c>
      <c r="C142" s="190" t="str">
        <f t="shared" si="77"/>
        <v>4312</v>
      </c>
      <c r="D142" s="159" t="s">
        <v>522</v>
      </c>
      <c r="E142" s="163">
        <v>2013</v>
      </c>
      <c r="F142" s="162" t="s">
        <v>1964</v>
      </c>
      <c r="G142" s="182" t="s">
        <v>421</v>
      </c>
      <c r="H142" s="163" t="str">
        <f t="shared" si="78"/>
        <v>UM</v>
      </c>
      <c r="I142" s="163" t="s">
        <v>157</v>
      </c>
      <c r="J142" s="162" t="s">
        <v>183</v>
      </c>
      <c r="K142" s="162" t="s">
        <v>151</v>
      </c>
      <c r="L142" s="162" t="s">
        <v>352</v>
      </c>
      <c r="M142" s="162" t="s">
        <v>2014</v>
      </c>
      <c r="N142" s="163" t="s">
        <v>157</v>
      </c>
      <c r="O142" s="162" t="s">
        <v>1979</v>
      </c>
      <c r="P142" s="162" t="s">
        <v>154</v>
      </c>
      <c r="Q142" s="162" t="s">
        <v>155</v>
      </c>
      <c r="R142" s="163">
        <v>2008</v>
      </c>
      <c r="S142" s="194">
        <v>20</v>
      </c>
      <c r="T142" s="194">
        <f>IF(ISNUMBER(S142),S142/VLOOKUP($Q142,xRates!$A$1:$AA$267,studies!$R142-xRates!$B$1+2,FALSE),S142)</f>
        <v>20</v>
      </c>
      <c r="V142" s="194"/>
      <c r="W142" s="163" t="s">
        <v>148</v>
      </c>
      <c r="X142" s="163" t="s">
        <v>148</v>
      </c>
      <c r="Y142" s="163" t="s">
        <v>148</v>
      </c>
      <c r="Z142" s="163" t="s">
        <v>148</v>
      </c>
      <c r="AA142" s="163" t="s">
        <v>148</v>
      </c>
      <c r="AB142" s="163" t="s">
        <v>159</v>
      </c>
      <c r="AC142" s="196">
        <v>2295.77</v>
      </c>
      <c r="AD142" s="196">
        <v>2295.77</v>
      </c>
      <c r="AE142" s="192" t="str">
        <f t="shared" si="88"/>
        <v>No</v>
      </c>
      <c r="AF142" s="196">
        <f t="shared" si="79"/>
        <v>5472.5365300000003</v>
      </c>
      <c r="AG142" s="159" t="str">
        <f t="shared" si="89"/>
        <v>Cost-effective</v>
      </c>
      <c r="AH142" s="159" t="str">
        <f t="shared" si="90"/>
        <v>Cost-effective</v>
      </c>
      <c r="AI142" s="198">
        <f t="shared" si="91"/>
        <v>0.41950747837219093</v>
      </c>
      <c r="AJ142" s="198">
        <f t="shared" si="80"/>
        <v>1.89</v>
      </c>
      <c r="AK142" s="159" t="str">
        <f t="shared" si="92"/>
        <v>Cost-effective</v>
      </c>
      <c r="AL142" s="198">
        <f t="shared" si="81"/>
        <v>1.17</v>
      </c>
      <c r="AM142" s="162" t="str">
        <f t="shared" si="93"/>
        <v>Cost-effective</v>
      </c>
      <c r="AN142" s="198">
        <f t="shared" si="82"/>
        <v>0.67142448878179284</v>
      </c>
      <c r="AO142" s="159" t="str">
        <f t="shared" si="94"/>
        <v>Cost-effective</v>
      </c>
      <c r="AP142" s="198">
        <f t="shared" si="83"/>
        <v>0.16670017209696561</v>
      </c>
      <c r="AQ142" s="159" t="str">
        <f t="shared" si="95"/>
        <v>Not cost-effective</v>
      </c>
      <c r="AR142" s="198">
        <f t="shared" si="84"/>
        <v>1.3237396338136047</v>
      </c>
      <c r="AS142" s="159" t="str">
        <f t="shared" si="96"/>
        <v>Cost-effective</v>
      </c>
      <c r="AT142" s="198">
        <f t="shared" si="85"/>
        <v>0.54863988350299309</v>
      </c>
      <c r="AU142" s="159" t="str">
        <f t="shared" si="97"/>
        <v>Cost-effective</v>
      </c>
      <c r="AV142" s="162" t="s">
        <v>173</v>
      </c>
      <c r="AW142" s="162" t="s">
        <v>1995</v>
      </c>
      <c r="AX142" s="168">
        <f t="shared" si="98"/>
        <v>0</v>
      </c>
      <c r="AY142" s="168">
        <f t="shared" si="99"/>
        <v>0</v>
      </c>
      <c r="AZ142" s="163">
        <f t="shared" si="100"/>
        <v>0</v>
      </c>
      <c r="BA142" s="163">
        <f t="shared" si="101"/>
        <v>1</v>
      </c>
      <c r="BB142" s="163">
        <f t="shared" si="102"/>
        <v>0</v>
      </c>
      <c r="BC142" s="163">
        <f t="shared" si="103"/>
        <v>0</v>
      </c>
      <c r="BD142" s="163">
        <f t="shared" si="104"/>
        <v>1</v>
      </c>
      <c r="BE142" s="163" t="s">
        <v>157</v>
      </c>
      <c r="BF142" s="162" t="s">
        <v>1425</v>
      </c>
    </row>
    <row r="143" spans="1:58">
      <c r="A143" s="159">
        <f t="shared" si="86"/>
        <v>43</v>
      </c>
      <c r="B143" s="159">
        <f t="shared" si="87"/>
        <v>13</v>
      </c>
      <c r="C143" s="190" t="str">
        <f t="shared" si="77"/>
        <v>4313</v>
      </c>
      <c r="D143" s="159" t="s">
        <v>522</v>
      </c>
      <c r="E143" s="163">
        <v>2013</v>
      </c>
      <c r="F143" s="162" t="s">
        <v>1964</v>
      </c>
      <c r="G143" s="182" t="s">
        <v>537</v>
      </c>
      <c r="H143" s="163" t="str">
        <f t="shared" si="78"/>
        <v>UM</v>
      </c>
      <c r="I143" s="163" t="s">
        <v>157</v>
      </c>
      <c r="J143" s="162" t="s">
        <v>183</v>
      </c>
      <c r="K143" s="162" t="s">
        <v>151</v>
      </c>
      <c r="L143" s="162" t="s">
        <v>352</v>
      </c>
      <c r="M143" s="162" t="s">
        <v>2014</v>
      </c>
      <c r="N143" s="163" t="s">
        <v>148</v>
      </c>
      <c r="O143" s="162" t="s">
        <v>1979</v>
      </c>
      <c r="P143" s="162" t="s">
        <v>154</v>
      </c>
      <c r="Q143" s="162" t="s">
        <v>155</v>
      </c>
      <c r="R143" s="163">
        <v>2008</v>
      </c>
      <c r="S143" s="194">
        <v>20</v>
      </c>
      <c r="T143" s="194">
        <f>IF(ISNUMBER(S143),S143/VLOOKUP($Q143,xRates!$A$1:$AA$267,studies!$R143-xRates!$B$1+2,FALSE),S143)</f>
        <v>20</v>
      </c>
      <c r="V143" s="194"/>
      <c r="W143" s="163" t="s">
        <v>157</v>
      </c>
      <c r="X143" s="163" t="s">
        <v>157</v>
      </c>
      <c r="Y143" s="163" t="s">
        <v>148</v>
      </c>
      <c r="Z143" s="163" t="s">
        <v>148</v>
      </c>
      <c r="AA143" s="163" t="s">
        <v>148</v>
      </c>
      <c r="AB143" s="163" t="s">
        <v>159</v>
      </c>
      <c r="AC143" s="196">
        <v>4594.33</v>
      </c>
      <c r="AD143" s="196">
        <v>4594.33</v>
      </c>
      <c r="AE143" s="192" t="str">
        <f t="shared" si="88"/>
        <v>No</v>
      </c>
      <c r="AF143" s="196">
        <f t="shared" si="79"/>
        <v>10016.57121</v>
      </c>
      <c r="AG143" s="159" t="str">
        <f t="shared" si="89"/>
        <v>Cost-effective</v>
      </c>
      <c r="AH143" s="159" t="str">
        <f t="shared" si="90"/>
        <v>Cost-effective</v>
      </c>
      <c r="AI143" s="198">
        <f t="shared" si="91"/>
        <v>0.45867292346639243</v>
      </c>
      <c r="AJ143" s="198">
        <f t="shared" si="80"/>
        <v>0.97</v>
      </c>
      <c r="AK143" s="159" t="str">
        <f t="shared" si="92"/>
        <v>Cost-effective</v>
      </c>
      <c r="AL143" s="198">
        <f t="shared" si="81"/>
        <v>0.64</v>
      </c>
      <c r="AM143" s="162" t="str">
        <f t="shared" si="93"/>
        <v>Cost-effective</v>
      </c>
      <c r="AN143" s="198">
        <f t="shared" si="82"/>
        <v>0.6292666176774443</v>
      </c>
      <c r="AO143" s="159" t="str">
        <f t="shared" si="94"/>
        <v>Cost-effective</v>
      </c>
      <c r="AP143" s="198">
        <f t="shared" si="83"/>
        <v>0.22470477827865473</v>
      </c>
      <c r="AQ143" s="159" t="str">
        <f t="shared" si="95"/>
        <v>Not cost-effective</v>
      </c>
      <c r="AR143" s="198">
        <f t="shared" si="84"/>
        <v>0.92216934171082232</v>
      </c>
      <c r="AS143" s="159" t="str">
        <f t="shared" si="96"/>
        <v>Cost-effective</v>
      </c>
      <c r="AT143" s="198">
        <f t="shared" si="85"/>
        <v>0.38219376705822333</v>
      </c>
      <c r="AU143" s="159" t="str">
        <f t="shared" si="97"/>
        <v>Not cost-effective</v>
      </c>
      <c r="AV143" s="162" t="s">
        <v>173</v>
      </c>
      <c r="AW143" s="162" t="s">
        <v>1995</v>
      </c>
      <c r="AX143" s="168">
        <f t="shared" si="98"/>
        <v>0</v>
      </c>
      <c r="AY143" s="168">
        <f t="shared" si="99"/>
        <v>0</v>
      </c>
      <c r="AZ143" s="163">
        <f t="shared" si="100"/>
        <v>0</v>
      </c>
      <c r="BA143" s="163">
        <f t="shared" si="101"/>
        <v>1</v>
      </c>
      <c r="BB143" s="163">
        <f t="shared" si="102"/>
        <v>0</v>
      </c>
      <c r="BC143" s="163">
        <f t="shared" si="103"/>
        <v>1</v>
      </c>
      <c r="BD143" s="163">
        <f t="shared" si="104"/>
        <v>2</v>
      </c>
      <c r="BE143" s="163" t="s">
        <v>157</v>
      </c>
      <c r="BF143" s="162" t="s">
        <v>1425</v>
      </c>
    </row>
    <row r="144" spans="1:58">
      <c r="A144" s="159">
        <f t="shared" si="86"/>
        <v>43</v>
      </c>
      <c r="B144" s="159">
        <f t="shared" si="87"/>
        <v>14</v>
      </c>
      <c r="C144" s="190" t="str">
        <f t="shared" si="77"/>
        <v>4314</v>
      </c>
      <c r="D144" s="159" t="s">
        <v>522</v>
      </c>
      <c r="E144" s="163">
        <v>2013</v>
      </c>
      <c r="F144" s="162" t="s">
        <v>1964</v>
      </c>
      <c r="G144" s="182" t="s">
        <v>537</v>
      </c>
      <c r="H144" s="163" t="str">
        <f t="shared" si="78"/>
        <v>UM</v>
      </c>
      <c r="I144" s="163" t="s">
        <v>157</v>
      </c>
      <c r="J144" s="162" t="s">
        <v>183</v>
      </c>
      <c r="K144" s="162" t="s">
        <v>151</v>
      </c>
      <c r="L144" s="162" t="s">
        <v>352</v>
      </c>
      <c r="M144" s="162" t="s">
        <v>2014</v>
      </c>
      <c r="N144" s="163" t="s">
        <v>157</v>
      </c>
      <c r="O144" s="162" t="s">
        <v>153</v>
      </c>
      <c r="P144" s="162" t="s">
        <v>154</v>
      </c>
      <c r="Q144" s="162" t="s">
        <v>155</v>
      </c>
      <c r="R144" s="163">
        <v>2008</v>
      </c>
      <c r="S144" s="194">
        <v>20</v>
      </c>
      <c r="T144" s="194">
        <f>IF(ISNUMBER(S144),S144/VLOOKUP($Q144,xRates!$A$1:$AA$267,studies!$R144-xRates!$B$1+2,FALSE),S144)</f>
        <v>20</v>
      </c>
      <c r="V144" s="194"/>
      <c r="W144" s="163" t="s">
        <v>157</v>
      </c>
      <c r="X144" s="163" t="s">
        <v>157</v>
      </c>
      <c r="Y144" s="163" t="s">
        <v>148</v>
      </c>
      <c r="Z144" s="163" t="s">
        <v>148</v>
      </c>
      <c r="AA144" s="163" t="s">
        <v>148</v>
      </c>
      <c r="AB144" s="163" t="s">
        <v>159</v>
      </c>
      <c r="AC144" s="196">
        <v>3243.41</v>
      </c>
      <c r="AD144" s="196">
        <v>3243.41</v>
      </c>
      <c r="AE144" s="192" t="str">
        <f t="shared" si="88"/>
        <v>No</v>
      </c>
      <c r="AF144" s="196">
        <f t="shared" si="79"/>
        <v>10016.57121</v>
      </c>
      <c r="AG144" s="159" t="str">
        <f t="shared" si="89"/>
        <v>Cost-effective</v>
      </c>
      <c r="AH144" s="159" t="str">
        <f t="shared" si="90"/>
        <v>Cost-effective</v>
      </c>
      <c r="AI144" s="198">
        <f t="shared" si="91"/>
        <v>0.32380441690086081</v>
      </c>
      <c r="AJ144" s="198">
        <f t="shared" si="80"/>
        <v>0.97</v>
      </c>
      <c r="AK144" s="159" t="str">
        <f t="shared" si="92"/>
        <v>Cost-effective</v>
      </c>
      <c r="AL144" s="198">
        <f t="shared" si="81"/>
        <v>0.64</v>
      </c>
      <c r="AM144" s="162" t="str">
        <f t="shared" si="93"/>
        <v>Cost-effective</v>
      </c>
      <c r="AN144" s="198">
        <f t="shared" si="82"/>
        <v>0.6292666176774443</v>
      </c>
      <c r="AO144" s="159" t="str">
        <f t="shared" si="94"/>
        <v>Cost-effective</v>
      </c>
      <c r="AP144" s="198">
        <f t="shared" si="83"/>
        <v>0.22470477827865473</v>
      </c>
      <c r="AQ144" s="159" t="str">
        <f t="shared" si="95"/>
        <v>Not cost-effective</v>
      </c>
      <c r="AR144" s="198">
        <f t="shared" si="84"/>
        <v>0.92216934171082232</v>
      </c>
      <c r="AS144" s="159" t="str">
        <f t="shared" si="96"/>
        <v>Cost-effective</v>
      </c>
      <c r="AT144" s="198">
        <f t="shared" si="85"/>
        <v>0.38219376705822333</v>
      </c>
      <c r="AU144" s="159" t="str">
        <f t="shared" si="97"/>
        <v>Cost-effective</v>
      </c>
      <c r="AV144" s="162" t="s">
        <v>173</v>
      </c>
      <c r="AW144" s="162" t="s">
        <v>1995</v>
      </c>
      <c r="AX144" s="168">
        <f t="shared" si="98"/>
        <v>0</v>
      </c>
      <c r="AY144" s="168">
        <f t="shared" si="99"/>
        <v>0</v>
      </c>
      <c r="AZ144" s="163">
        <f t="shared" si="100"/>
        <v>0</v>
      </c>
      <c r="BA144" s="163">
        <f t="shared" si="101"/>
        <v>1</v>
      </c>
      <c r="BB144" s="163">
        <f t="shared" si="102"/>
        <v>0</v>
      </c>
      <c r="BC144" s="163">
        <f t="shared" si="103"/>
        <v>0</v>
      </c>
      <c r="BD144" s="163">
        <f t="shared" si="104"/>
        <v>1</v>
      </c>
      <c r="BE144" s="163" t="s">
        <v>157</v>
      </c>
      <c r="BF144" s="162" t="s">
        <v>1425</v>
      </c>
    </row>
    <row r="145" spans="1:58">
      <c r="A145" s="159">
        <f t="shared" si="86"/>
        <v>43</v>
      </c>
      <c r="B145" s="159">
        <f t="shared" si="87"/>
        <v>15</v>
      </c>
      <c r="C145" s="190" t="str">
        <f t="shared" si="77"/>
        <v>4315</v>
      </c>
      <c r="D145" s="159" t="s">
        <v>522</v>
      </c>
      <c r="E145" s="163">
        <v>2013</v>
      </c>
      <c r="F145" s="162" t="s">
        <v>1964</v>
      </c>
      <c r="G145" s="182" t="s">
        <v>537</v>
      </c>
      <c r="H145" s="163" t="str">
        <f t="shared" si="78"/>
        <v>UM</v>
      </c>
      <c r="I145" s="163" t="s">
        <v>157</v>
      </c>
      <c r="J145" s="162" t="s">
        <v>183</v>
      </c>
      <c r="K145" s="162" t="s">
        <v>151</v>
      </c>
      <c r="L145" s="162" t="s">
        <v>352</v>
      </c>
      <c r="M145" s="162" t="s">
        <v>2014</v>
      </c>
      <c r="N145" s="163" t="s">
        <v>157</v>
      </c>
      <c r="O145" s="162" t="s">
        <v>1979</v>
      </c>
      <c r="P145" s="162" t="s">
        <v>154</v>
      </c>
      <c r="Q145" s="162" t="s">
        <v>155</v>
      </c>
      <c r="R145" s="163">
        <v>2008</v>
      </c>
      <c r="S145" s="194">
        <v>20</v>
      </c>
      <c r="T145" s="194">
        <f>IF(ISNUMBER(S145),S145/VLOOKUP($Q145,xRates!$A$1:$AA$267,studies!$R145-xRates!$B$1+2,FALSE),S145)</f>
        <v>20</v>
      </c>
      <c r="V145" s="194"/>
      <c r="W145" s="163" t="s">
        <v>148</v>
      </c>
      <c r="X145" s="163" t="s">
        <v>157</v>
      </c>
      <c r="Y145" s="163" t="s">
        <v>148</v>
      </c>
      <c r="Z145" s="163" t="s">
        <v>148</v>
      </c>
      <c r="AA145" s="163" t="s">
        <v>148</v>
      </c>
      <c r="AB145" s="163" t="s">
        <v>159</v>
      </c>
      <c r="AC145" s="196">
        <v>4144.01</v>
      </c>
      <c r="AD145" s="196">
        <v>4144.01</v>
      </c>
      <c r="AE145" s="192" t="str">
        <f t="shared" si="88"/>
        <v>No</v>
      </c>
      <c r="AF145" s="196">
        <f t="shared" si="79"/>
        <v>10016.57121</v>
      </c>
      <c r="AG145" s="159" t="str">
        <f t="shared" si="89"/>
        <v>Cost-effective</v>
      </c>
      <c r="AH145" s="159" t="str">
        <f t="shared" si="90"/>
        <v>Cost-effective</v>
      </c>
      <c r="AI145" s="198">
        <f t="shared" si="91"/>
        <v>0.41371542348372126</v>
      </c>
      <c r="AJ145" s="198">
        <f t="shared" si="80"/>
        <v>0.97</v>
      </c>
      <c r="AK145" s="159" t="str">
        <f t="shared" si="92"/>
        <v>Cost-effective</v>
      </c>
      <c r="AL145" s="198">
        <f t="shared" si="81"/>
        <v>0.64</v>
      </c>
      <c r="AM145" s="162" t="str">
        <f t="shared" si="93"/>
        <v>Cost-effective</v>
      </c>
      <c r="AN145" s="198">
        <f t="shared" si="82"/>
        <v>0.6292666176774443</v>
      </c>
      <c r="AO145" s="159" t="str">
        <f t="shared" si="94"/>
        <v>Cost-effective</v>
      </c>
      <c r="AP145" s="198">
        <f t="shared" si="83"/>
        <v>0.22470477827865473</v>
      </c>
      <c r="AQ145" s="159" t="str">
        <f t="shared" si="95"/>
        <v>Not cost-effective</v>
      </c>
      <c r="AR145" s="198">
        <f t="shared" si="84"/>
        <v>0.92216934171082232</v>
      </c>
      <c r="AS145" s="159" t="str">
        <f t="shared" si="96"/>
        <v>Cost-effective</v>
      </c>
      <c r="AT145" s="198">
        <f t="shared" si="85"/>
        <v>0.38219376705822333</v>
      </c>
      <c r="AU145" s="159" t="str">
        <f t="shared" si="97"/>
        <v>Not cost-effective</v>
      </c>
      <c r="AV145" s="162" t="s">
        <v>173</v>
      </c>
      <c r="AW145" s="162" t="s">
        <v>1995</v>
      </c>
      <c r="AX145" s="168">
        <f t="shared" si="98"/>
        <v>0</v>
      </c>
      <c r="AY145" s="168">
        <f t="shared" si="99"/>
        <v>0</v>
      </c>
      <c r="AZ145" s="163">
        <f t="shared" si="100"/>
        <v>0</v>
      </c>
      <c r="BA145" s="163">
        <f t="shared" si="101"/>
        <v>1</v>
      </c>
      <c r="BB145" s="163">
        <f t="shared" si="102"/>
        <v>0</v>
      </c>
      <c r="BC145" s="163">
        <f t="shared" si="103"/>
        <v>1</v>
      </c>
      <c r="BD145" s="163">
        <f t="shared" si="104"/>
        <v>2</v>
      </c>
      <c r="BE145" s="163" t="s">
        <v>157</v>
      </c>
      <c r="BF145" s="162" t="s">
        <v>1425</v>
      </c>
    </row>
    <row r="146" spans="1:58">
      <c r="A146" s="159">
        <f t="shared" si="86"/>
        <v>43</v>
      </c>
      <c r="B146" s="159">
        <f t="shared" si="87"/>
        <v>16</v>
      </c>
      <c r="C146" s="190" t="str">
        <f t="shared" si="77"/>
        <v>4316</v>
      </c>
      <c r="D146" s="159" t="s">
        <v>522</v>
      </c>
      <c r="E146" s="163">
        <v>2013</v>
      </c>
      <c r="F146" s="162" t="s">
        <v>1964</v>
      </c>
      <c r="G146" s="182" t="s">
        <v>537</v>
      </c>
      <c r="H146" s="163" t="str">
        <f t="shared" si="78"/>
        <v>UM</v>
      </c>
      <c r="I146" s="163" t="s">
        <v>157</v>
      </c>
      <c r="J146" s="162" t="s">
        <v>183</v>
      </c>
      <c r="K146" s="162" t="s">
        <v>151</v>
      </c>
      <c r="L146" s="162" t="s">
        <v>352</v>
      </c>
      <c r="M146" s="162" t="s">
        <v>2014</v>
      </c>
      <c r="N146" s="163" t="s">
        <v>157</v>
      </c>
      <c r="O146" s="162" t="s">
        <v>1979</v>
      </c>
      <c r="P146" s="162" t="s">
        <v>154</v>
      </c>
      <c r="Q146" s="162" t="s">
        <v>155</v>
      </c>
      <c r="R146" s="163">
        <v>2008</v>
      </c>
      <c r="S146" s="194">
        <v>20</v>
      </c>
      <c r="T146" s="194">
        <f>IF(ISNUMBER(S146),S146/VLOOKUP($Q146,xRates!$A$1:$AA$267,studies!$R146-xRates!$B$1+2,FALSE),S146)</f>
        <v>20</v>
      </c>
      <c r="V146" s="194"/>
      <c r="W146" s="163" t="s">
        <v>148</v>
      </c>
      <c r="X146" s="163" t="s">
        <v>148</v>
      </c>
      <c r="Y146" s="163" t="s">
        <v>148</v>
      </c>
      <c r="Z146" s="163" t="s">
        <v>148</v>
      </c>
      <c r="AA146" s="163" t="s">
        <v>148</v>
      </c>
      <c r="AB146" s="163" t="s">
        <v>159</v>
      </c>
      <c r="AC146" s="196">
        <v>2790.71</v>
      </c>
      <c r="AD146" s="196">
        <v>2790.71</v>
      </c>
      <c r="AE146" s="192" t="str">
        <f t="shared" si="88"/>
        <v>No</v>
      </c>
      <c r="AF146" s="196">
        <f t="shared" si="79"/>
        <v>10016.57121</v>
      </c>
      <c r="AG146" s="159" t="str">
        <f t="shared" si="89"/>
        <v>Cost-effective</v>
      </c>
      <c r="AH146" s="159" t="str">
        <f t="shared" si="90"/>
        <v>Cost-effective</v>
      </c>
      <c r="AI146" s="198">
        <f t="shared" si="91"/>
        <v>0.27860931066050892</v>
      </c>
      <c r="AJ146" s="198">
        <f t="shared" si="80"/>
        <v>0.97</v>
      </c>
      <c r="AK146" s="159" t="str">
        <f t="shared" si="92"/>
        <v>Cost-effective</v>
      </c>
      <c r="AL146" s="198">
        <f t="shared" si="81"/>
        <v>0.64</v>
      </c>
      <c r="AM146" s="162" t="str">
        <f t="shared" si="93"/>
        <v>Cost-effective</v>
      </c>
      <c r="AN146" s="198">
        <f t="shared" si="82"/>
        <v>0.6292666176774443</v>
      </c>
      <c r="AO146" s="159" t="str">
        <f t="shared" si="94"/>
        <v>Cost-effective</v>
      </c>
      <c r="AP146" s="198">
        <f t="shared" si="83"/>
        <v>0.22470477827865473</v>
      </c>
      <c r="AQ146" s="159" t="str">
        <f t="shared" si="95"/>
        <v>Not cost-effective</v>
      </c>
      <c r="AR146" s="198">
        <f t="shared" si="84"/>
        <v>0.92216934171082232</v>
      </c>
      <c r="AS146" s="159" t="str">
        <f t="shared" si="96"/>
        <v>Cost-effective</v>
      </c>
      <c r="AT146" s="198">
        <f t="shared" si="85"/>
        <v>0.38219376705822333</v>
      </c>
      <c r="AU146" s="159" t="str">
        <f t="shared" si="97"/>
        <v>Cost-effective</v>
      </c>
      <c r="AV146" s="162" t="s">
        <v>173</v>
      </c>
      <c r="AW146" s="162" t="s">
        <v>1995</v>
      </c>
      <c r="AX146" s="168">
        <f t="shared" si="98"/>
        <v>0</v>
      </c>
      <c r="AY146" s="168">
        <f t="shared" si="99"/>
        <v>0</v>
      </c>
      <c r="AZ146" s="163">
        <f t="shared" si="100"/>
        <v>0</v>
      </c>
      <c r="BA146" s="163">
        <f t="shared" si="101"/>
        <v>1</v>
      </c>
      <c r="BB146" s="163">
        <f t="shared" si="102"/>
        <v>0</v>
      </c>
      <c r="BC146" s="163">
        <f t="shared" si="103"/>
        <v>0</v>
      </c>
      <c r="BD146" s="163">
        <f t="shared" si="104"/>
        <v>1</v>
      </c>
      <c r="BE146" s="163" t="s">
        <v>157</v>
      </c>
      <c r="BF146" s="162" t="s">
        <v>1425</v>
      </c>
    </row>
    <row r="147" spans="1:58">
      <c r="A147" s="159">
        <f t="shared" si="86"/>
        <v>43</v>
      </c>
      <c r="B147" s="159">
        <f t="shared" si="87"/>
        <v>17</v>
      </c>
      <c r="C147" s="190" t="str">
        <f t="shared" si="77"/>
        <v>4317</v>
      </c>
      <c r="D147" s="159" t="s">
        <v>522</v>
      </c>
      <c r="E147" s="163">
        <v>2013</v>
      </c>
      <c r="F147" s="162" t="s">
        <v>1964</v>
      </c>
      <c r="G147" s="182" t="s">
        <v>404</v>
      </c>
      <c r="H147" s="163" t="str">
        <f t="shared" si="78"/>
        <v>UM</v>
      </c>
      <c r="I147" s="163" t="s">
        <v>157</v>
      </c>
      <c r="J147" s="162" t="s">
        <v>183</v>
      </c>
      <c r="K147" s="162" t="s">
        <v>151</v>
      </c>
      <c r="L147" s="162" t="s">
        <v>352</v>
      </c>
      <c r="M147" s="162" t="s">
        <v>2014</v>
      </c>
      <c r="N147" s="163" t="s">
        <v>148</v>
      </c>
      <c r="O147" s="162" t="s">
        <v>1979</v>
      </c>
      <c r="P147" s="162" t="s">
        <v>154</v>
      </c>
      <c r="Q147" s="162" t="s">
        <v>155</v>
      </c>
      <c r="R147" s="163">
        <v>2009</v>
      </c>
      <c r="S147" s="194">
        <v>20</v>
      </c>
      <c r="T147" s="194">
        <f>IF(ISNUMBER(S147),S147/VLOOKUP($Q147,xRates!$A$1:$AA$267,studies!$R147-xRates!$B$1+2,FALSE),S147)</f>
        <v>20</v>
      </c>
      <c r="V147" s="194"/>
      <c r="W147" s="163" t="s">
        <v>157</v>
      </c>
      <c r="X147" s="163" t="s">
        <v>157</v>
      </c>
      <c r="Y147" s="163" t="s">
        <v>148</v>
      </c>
      <c r="Z147" s="163" t="s">
        <v>148</v>
      </c>
      <c r="AA147" s="163" t="s">
        <v>148</v>
      </c>
      <c r="AB147" s="163" t="s">
        <v>159</v>
      </c>
      <c r="AC147" s="196">
        <v>2975.23</v>
      </c>
      <c r="AD147" s="196">
        <v>2975.23</v>
      </c>
      <c r="AE147" s="192" t="str">
        <f t="shared" si="88"/>
        <v>No</v>
      </c>
      <c r="AF147" s="196">
        <f t="shared" si="79"/>
        <v>4196.311627</v>
      </c>
      <c r="AG147" s="159" t="str">
        <f t="shared" si="89"/>
        <v>Cost-effective</v>
      </c>
      <c r="AH147" s="159" t="str">
        <f t="shared" si="90"/>
        <v>Cost-effective</v>
      </c>
      <c r="AI147" s="198">
        <f t="shared" si="91"/>
        <v>0.7090107371570572</v>
      </c>
      <c r="AJ147" s="198">
        <f t="shared" si="80"/>
        <v>1.08</v>
      </c>
      <c r="AK147" s="159" t="str">
        <f t="shared" si="92"/>
        <v>Cost-effective</v>
      </c>
      <c r="AL147" s="198">
        <f t="shared" si="81"/>
        <v>0.64</v>
      </c>
      <c r="AM147" s="162" t="str">
        <f t="shared" si="93"/>
        <v>Not cost-effective</v>
      </c>
      <c r="AN147" s="198">
        <f t="shared" si="82"/>
        <v>0.64868436103329219</v>
      </c>
      <c r="AO147" s="159" t="str">
        <f t="shared" si="94"/>
        <v>Not cost-effective</v>
      </c>
      <c r="AP147" s="198">
        <f t="shared" si="83"/>
        <v>0.16487209176159878</v>
      </c>
      <c r="AQ147" s="159" t="str">
        <f t="shared" si="95"/>
        <v>Not cost-effective</v>
      </c>
      <c r="AR147" s="198">
        <f t="shared" si="84"/>
        <v>0.88451095719374262</v>
      </c>
      <c r="AS147" s="159" t="str">
        <f t="shared" si="96"/>
        <v>Cost-effective</v>
      </c>
      <c r="AT147" s="198">
        <f t="shared" si="85"/>
        <v>0.366554090368578</v>
      </c>
      <c r="AU147" s="159" t="str">
        <f t="shared" si="97"/>
        <v>Not cost-effective</v>
      </c>
      <c r="AV147" s="162" t="s">
        <v>173</v>
      </c>
      <c r="AW147" s="162" t="s">
        <v>1995</v>
      </c>
      <c r="AX147" s="168">
        <f t="shared" si="98"/>
        <v>0</v>
      </c>
      <c r="AY147" s="168">
        <f t="shared" si="99"/>
        <v>1</v>
      </c>
      <c r="AZ147" s="163">
        <f t="shared" si="100"/>
        <v>1</v>
      </c>
      <c r="BA147" s="163">
        <f t="shared" si="101"/>
        <v>1</v>
      </c>
      <c r="BB147" s="163">
        <f t="shared" si="102"/>
        <v>0</v>
      </c>
      <c r="BC147" s="163">
        <f t="shared" si="103"/>
        <v>1</v>
      </c>
      <c r="BD147" s="163">
        <f t="shared" si="104"/>
        <v>4</v>
      </c>
      <c r="BE147" s="163" t="s">
        <v>157</v>
      </c>
      <c r="BF147" s="162" t="s">
        <v>1425</v>
      </c>
    </row>
    <row r="148" spans="1:58">
      <c r="A148" s="159">
        <f t="shared" si="86"/>
        <v>43</v>
      </c>
      <c r="B148" s="159">
        <f t="shared" si="87"/>
        <v>18</v>
      </c>
      <c r="C148" s="190" t="str">
        <f t="shared" si="77"/>
        <v>4318</v>
      </c>
      <c r="D148" s="159" t="s">
        <v>522</v>
      </c>
      <c r="E148" s="163">
        <v>2013</v>
      </c>
      <c r="F148" s="162" t="s">
        <v>1964</v>
      </c>
      <c r="G148" s="182" t="s">
        <v>404</v>
      </c>
      <c r="H148" s="163" t="str">
        <f t="shared" si="78"/>
        <v>UM</v>
      </c>
      <c r="I148" s="163" t="s">
        <v>157</v>
      </c>
      <c r="J148" s="162" t="s">
        <v>183</v>
      </c>
      <c r="K148" s="162" t="s">
        <v>151</v>
      </c>
      <c r="L148" s="162" t="s">
        <v>352</v>
      </c>
      <c r="M148" s="162" t="s">
        <v>2014</v>
      </c>
      <c r="N148" s="163" t="s">
        <v>157</v>
      </c>
      <c r="O148" s="162" t="s">
        <v>153</v>
      </c>
      <c r="P148" s="162" t="s">
        <v>154</v>
      </c>
      <c r="Q148" s="162" t="s">
        <v>155</v>
      </c>
      <c r="R148" s="163">
        <v>2009</v>
      </c>
      <c r="S148" s="194">
        <v>20</v>
      </c>
      <c r="T148" s="194">
        <f>IF(ISNUMBER(S148),S148/VLOOKUP($Q148,xRates!$A$1:$AA$267,studies!$R148-xRates!$B$1+2,FALSE),S148)</f>
        <v>20</v>
      </c>
      <c r="V148" s="194"/>
      <c r="W148" s="163" t="s">
        <v>157</v>
      </c>
      <c r="X148" s="163" t="s">
        <v>157</v>
      </c>
      <c r="Y148" s="163" t="s">
        <v>148</v>
      </c>
      <c r="Z148" s="163" t="s">
        <v>148</v>
      </c>
      <c r="AA148" s="163" t="s">
        <v>148</v>
      </c>
      <c r="AB148" s="163" t="s">
        <v>159</v>
      </c>
      <c r="AC148" s="196">
        <v>1535.87</v>
      </c>
      <c r="AD148" s="196">
        <v>1535.87</v>
      </c>
      <c r="AE148" s="192" t="str">
        <f t="shared" si="88"/>
        <v>No</v>
      </c>
      <c r="AF148" s="196">
        <f t="shared" si="79"/>
        <v>4196.311627</v>
      </c>
      <c r="AG148" s="159" t="str">
        <f t="shared" si="89"/>
        <v>Cost-effective</v>
      </c>
      <c r="AH148" s="159" t="str">
        <f t="shared" si="90"/>
        <v>Cost-effective</v>
      </c>
      <c r="AI148" s="198">
        <f t="shared" si="91"/>
        <v>0.3660047528686553</v>
      </c>
      <c r="AJ148" s="198">
        <f t="shared" si="80"/>
        <v>1.08</v>
      </c>
      <c r="AK148" s="159" t="str">
        <f t="shared" si="92"/>
        <v>Cost-effective</v>
      </c>
      <c r="AL148" s="198">
        <f t="shared" si="81"/>
        <v>0.64</v>
      </c>
      <c r="AM148" s="162" t="str">
        <f t="shared" si="93"/>
        <v>Cost-effective</v>
      </c>
      <c r="AN148" s="198">
        <f t="shared" si="82"/>
        <v>0.64868436103329219</v>
      </c>
      <c r="AO148" s="159" t="str">
        <f t="shared" si="94"/>
        <v>Cost-effective</v>
      </c>
      <c r="AP148" s="198">
        <f t="shared" si="83"/>
        <v>0.16487209176159878</v>
      </c>
      <c r="AQ148" s="159" t="str">
        <f t="shared" si="95"/>
        <v>Not cost-effective</v>
      </c>
      <c r="AR148" s="198">
        <f t="shared" si="84"/>
        <v>0.88451095719374262</v>
      </c>
      <c r="AS148" s="159" t="str">
        <f t="shared" si="96"/>
        <v>Cost-effective</v>
      </c>
      <c r="AT148" s="198">
        <f t="shared" si="85"/>
        <v>0.366554090368578</v>
      </c>
      <c r="AU148" s="159" t="str">
        <f t="shared" si="97"/>
        <v>Cost-effective</v>
      </c>
      <c r="AV148" s="162" t="s">
        <v>173</v>
      </c>
      <c r="AW148" s="162" t="s">
        <v>1995</v>
      </c>
      <c r="AX148" s="168">
        <f t="shared" si="98"/>
        <v>0</v>
      </c>
      <c r="AY148" s="168">
        <f t="shared" si="99"/>
        <v>0</v>
      </c>
      <c r="AZ148" s="163">
        <f t="shared" si="100"/>
        <v>0</v>
      </c>
      <c r="BA148" s="163">
        <f t="shared" si="101"/>
        <v>1</v>
      </c>
      <c r="BB148" s="163">
        <f t="shared" si="102"/>
        <v>0</v>
      </c>
      <c r="BC148" s="163">
        <f t="shared" si="103"/>
        <v>0</v>
      </c>
      <c r="BD148" s="163">
        <f t="shared" si="104"/>
        <v>1</v>
      </c>
      <c r="BE148" s="163" t="s">
        <v>157</v>
      </c>
      <c r="BF148" s="162" t="s">
        <v>1425</v>
      </c>
    </row>
    <row r="149" spans="1:58">
      <c r="A149" s="159">
        <f t="shared" si="86"/>
        <v>43</v>
      </c>
      <c r="B149" s="159">
        <f t="shared" si="87"/>
        <v>19</v>
      </c>
      <c r="C149" s="190" t="str">
        <f t="shared" si="77"/>
        <v>4319</v>
      </c>
      <c r="D149" s="159" t="s">
        <v>522</v>
      </c>
      <c r="E149" s="163">
        <v>2013</v>
      </c>
      <c r="F149" s="162" t="s">
        <v>1964</v>
      </c>
      <c r="G149" s="182" t="s">
        <v>404</v>
      </c>
      <c r="H149" s="163" t="str">
        <f t="shared" si="78"/>
        <v>UM</v>
      </c>
      <c r="I149" s="163" t="s">
        <v>157</v>
      </c>
      <c r="J149" s="162" t="s">
        <v>183</v>
      </c>
      <c r="K149" s="162" t="s">
        <v>151</v>
      </c>
      <c r="L149" s="162" t="s">
        <v>352</v>
      </c>
      <c r="M149" s="162" t="s">
        <v>2014</v>
      </c>
      <c r="N149" s="163" t="s">
        <v>157</v>
      </c>
      <c r="O149" s="162" t="s">
        <v>1979</v>
      </c>
      <c r="P149" s="162" t="s">
        <v>154</v>
      </c>
      <c r="Q149" s="162" t="s">
        <v>155</v>
      </c>
      <c r="R149" s="163">
        <v>2009</v>
      </c>
      <c r="S149" s="194">
        <v>20</v>
      </c>
      <c r="T149" s="194">
        <f>IF(ISNUMBER(S149),S149/VLOOKUP($Q149,xRates!$A$1:$AA$267,studies!$R149-xRates!$B$1+2,FALSE),S149)</f>
        <v>20</v>
      </c>
      <c r="V149" s="194"/>
      <c r="W149" s="163" t="s">
        <v>148</v>
      </c>
      <c r="X149" s="163" t="s">
        <v>157</v>
      </c>
      <c r="Y149" s="163" t="s">
        <v>148</v>
      </c>
      <c r="Z149" s="163" t="s">
        <v>148</v>
      </c>
      <c r="AA149" s="163" t="s">
        <v>148</v>
      </c>
      <c r="AB149" s="163" t="s">
        <v>159</v>
      </c>
      <c r="AC149" s="196">
        <v>2920.73</v>
      </c>
      <c r="AD149" s="196">
        <v>2920.73</v>
      </c>
      <c r="AE149" s="192" t="str">
        <f t="shared" si="88"/>
        <v>No</v>
      </c>
      <c r="AF149" s="196">
        <f t="shared" si="79"/>
        <v>4196.311627</v>
      </c>
      <c r="AG149" s="159" t="str">
        <f t="shared" si="89"/>
        <v>Cost-effective</v>
      </c>
      <c r="AH149" s="159" t="str">
        <f t="shared" si="90"/>
        <v>Cost-effective</v>
      </c>
      <c r="AI149" s="198">
        <f t="shared" si="91"/>
        <v>0.69602314118126385</v>
      </c>
      <c r="AJ149" s="198">
        <f t="shared" si="80"/>
        <v>1.08</v>
      </c>
      <c r="AK149" s="159" t="str">
        <f t="shared" si="92"/>
        <v>Cost-effective</v>
      </c>
      <c r="AL149" s="198">
        <f t="shared" si="81"/>
        <v>0.64</v>
      </c>
      <c r="AM149" s="162" t="str">
        <f t="shared" si="93"/>
        <v>Not cost-effective</v>
      </c>
      <c r="AN149" s="198">
        <f t="shared" si="82"/>
        <v>0.64868436103329219</v>
      </c>
      <c r="AO149" s="159" t="str">
        <f t="shared" si="94"/>
        <v>Not cost-effective</v>
      </c>
      <c r="AP149" s="198">
        <f t="shared" si="83"/>
        <v>0.16487209176159878</v>
      </c>
      <c r="AQ149" s="159" t="str">
        <f t="shared" si="95"/>
        <v>Not cost-effective</v>
      </c>
      <c r="AR149" s="198">
        <f t="shared" si="84"/>
        <v>0.88451095719374262</v>
      </c>
      <c r="AS149" s="159" t="str">
        <f t="shared" si="96"/>
        <v>Cost-effective</v>
      </c>
      <c r="AT149" s="198">
        <f t="shared" si="85"/>
        <v>0.366554090368578</v>
      </c>
      <c r="AU149" s="159" t="str">
        <f t="shared" si="97"/>
        <v>Not cost-effective</v>
      </c>
      <c r="AV149" s="162" t="s">
        <v>173</v>
      </c>
      <c r="AW149" s="162" t="s">
        <v>1995</v>
      </c>
      <c r="AX149" s="168">
        <f t="shared" si="98"/>
        <v>0</v>
      </c>
      <c r="AY149" s="168">
        <f t="shared" si="99"/>
        <v>1</v>
      </c>
      <c r="AZ149" s="163">
        <f t="shared" si="100"/>
        <v>1</v>
      </c>
      <c r="BA149" s="163">
        <f t="shared" si="101"/>
        <v>1</v>
      </c>
      <c r="BB149" s="163">
        <f t="shared" si="102"/>
        <v>0</v>
      </c>
      <c r="BC149" s="163">
        <f t="shared" si="103"/>
        <v>1</v>
      </c>
      <c r="BD149" s="163">
        <f t="shared" si="104"/>
        <v>4</v>
      </c>
      <c r="BE149" s="163" t="s">
        <v>157</v>
      </c>
      <c r="BF149" s="162" t="s">
        <v>1425</v>
      </c>
    </row>
    <row r="150" spans="1:58">
      <c r="A150" s="159">
        <f t="shared" si="86"/>
        <v>43</v>
      </c>
      <c r="B150" s="159">
        <f t="shared" si="87"/>
        <v>20</v>
      </c>
      <c r="C150" s="190" t="str">
        <f t="shared" si="77"/>
        <v>4320</v>
      </c>
      <c r="D150" s="159" t="s">
        <v>522</v>
      </c>
      <c r="E150" s="163">
        <v>2013</v>
      </c>
      <c r="F150" s="162" t="s">
        <v>1964</v>
      </c>
      <c r="G150" s="182" t="s">
        <v>404</v>
      </c>
      <c r="H150" s="163" t="str">
        <f t="shared" si="78"/>
        <v>UM</v>
      </c>
      <c r="I150" s="163" t="s">
        <v>157</v>
      </c>
      <c r="J150" s="162" t="s">
        <v>183</v>
      </c>
      <c r="K150" s="162" t="s">
        <v>151</v>
      </c>
      <c r="L150" s="162" t="s">
        <v>352</v>
      </c>
      <c r="M150" s="162" t="s">
        <v>2014</v>
      </c>
      <c r="N150" s="163" t="s">
        <v>157</v>
      </c>
      <c r="O150" s="162" t="s">
        <v>1979</v>
      </c>
      <c r="P150" s="162" t="s">
        <v>154</v>
      </c>
      <c r="Q150" s="162" t="s">
        <v>155</v>
      </c>
      <c r="R150" s="163">
        <v>2009</v>
      </c>
      <c r="S150" s="194">
        <v>20</v>
      </c>
      <c r="T150" s="194">
        <f>IF(ISNUMBER(S150),S150/VLOOKUP($Q150,xRates!$A$1:$AA$267,studies!$R150-xRates!$B$1+2,FALSE),S150)</f>
        <v>20</v>
      </c>
      <c r="V150" s="194"/>
      <c r="W150" s="163" t="s">
        <v>148</v>
      </c>
      <c r="X150" s="163" t="s">
        <v>148</v>
      </c>
      <c r="Y150" s="163" t="s">
        <v>148</v>
      </c>
      <c r="Z150" s="163" t="s">
        <v>148</v>
      </c>
      <c r="AA150" s="163" t="s">
        <v>148</v>
      </c>
      <c r="AB150" s="163" t="s">
        <v>159</v>
      </c>
      <c r="AC150" s="196">
        <v>1478.95</v>
      </c>
      <c r="AD150" s="196">
        <v>1478.95</v>
      </c>
      <c r="AE150" s="192" t="str">
        <f t="shared" si="88"/>
        <v>No</v>
      </c>
      <c r="AF150" s="196">
        <f t="shared" si="79"/>
        <v>4196.311627</v>
      </c>
      <c r="AG150" s="159" t="str">
        <f t="shared" si="89"/>
        <v>Cost-effective</v>
      </c>
      <c r="AH150" s="159" t="str">
        <f t="shared" si="90"/>
        <v>Cost-effective</v>
      </c>
      <c r="AI150" s="198">
        <f t="shared" si="91"/>
        <v>0.35244045997063411</v>
      </c>
      <c r="AJ150" s="198">
        <f t="shared" si="80"/>
        <v>1.08</v>
      </c>
      <c r="AK150" s="159" t="str">
        <f t="shared" si="92"/>
        <v>Cost-effective</v>
      </c>
      <c r="AL150" s="198">
        <f t="shared" si="81"/>
        <v>0.64</v>
      </c>
      <c r="AM150" s="162" t="str">
        <f t="shared" si="93"/>
        <v>Cost-effective</v>
      </c>
      <c r="AN150" s="198">
        <f t="shared" si="82"/>
        <v>0.64868436103329219</v>
      </c>
      <c r="AO150" s="159" t="str">
        <f t="shared" si="94"/>
        <v>Cost-effective</v>
      </c>
      <c r="AP150" s="198">
        <f t="shared" si="83"/>
        <v>0.16487209176159878</v>
      </c>
      <c r="AQ150" s="159" t="str">
        <f t="shared" si="95"/>
        <v>Not cost-effective</v>
      </c>
      <c r="AR150" s="198">
        <f t="shared" si="84"/>
        <v>0.88451095719374262</v>
      </c>
      <c r="AS150" s="159" t="str">
        <f t="shared" si="96"/>
        <v>Cost-effective</v>
      </c>
      <c r="AT150" s="198">
        <f t="shared" si="85"/>
        <v>0.366554090368578</v>
      </c>
      <c r="AU150" s="159" t="str">
        <f t="shared" si="97"/>
        <v>Cost-effective</v>
      </c>
      <c r="AV150" s="162" t="s">
        <v>173</v>
      </c>
      <c r="AW150" s="162" t="s">
        <v>1995</v>
      </c>
      <c r="AX150" s="168">
        <f t="shared" si="98"/>
        <v>0</v>
      </c>
      <c r="AY150" s="168">
        <f t="shared" si="99"/>
        <v>0</v>
      </c>
      <c r="AZ150" s="163">
        <f t="shared" si="100"/>
        <v>0</v>
      </c>
      <c r="BA150" s="163">
        <f t="shared" si="101"/>
        <v>1</v>
      </c>
      <c r="BB150" s="163">
        <f t="shared" si="102"/>
        <v>0</v>
      </c>
      <c r="BC150" s="163">
        <f t="shared" si="103"/>
        <v>0</v>
      </c>
      <c r="BD150" s="163">
        <f t="shared" si="104"/>
        <v>1</v>
      </c>
      <c r="BE150" s="163" t="s">
        <v>157</v>
      </c>
      <c r="BF150" s="162" t="s">
        <v>1425</v>
      </c>
    </row>
    <row r="151" spans="1:58">
      <c r="A151" s="159">
        <f t="shared" si="86"/>
        <v>44</v>
      </c>
      <c r="B151" s="159">
        <f t="shared" si="87"/>
        <v>1</v>
      </c>
      <c r="C151" s="190" t="str">
        <f t="shared" si="77"/>
        <v>4401</v>
      </c>
      <c r="D151" s="159" t="s">
        <v>58</v>
      </c>
      <c r="E151" s="163">
        <v>2010</v>
      </c>
      <c r="F151" s="162" t="s">
        <v>1965</v>
      </c>
      <c r="G151" s="182" t="s">
        <v>365</v>
      </c>
      <c r="H151" s="163" t="str">
        <f t="shared" si="78"/>
        <v>UM</v>
      </c>
      <c r="I151" s="163" t="s">
        <v>157</v>
      </c>
      <c r="J151" s="162" t="s">
        <v>150</v>
      </c>
      <c r="K151" s="162" t="s">
        <v>151</v>
      </c>
      <c r="L151" s="162" t="s">
        <v>149</v>
      </c>
      <c r="M151" s="162" t="s">
        <v>2014</v>
      </c>
      <c r="N151" s="163" t="s">
        <v>148</v>
      </c>
      <c r="O151" s="162" t="s">
        <v>153</v>
      </c>
      <c r="P151" s="162" t="s">
        <v>154</v>
      </c>
      <c r="Q151" s="162" t="s">
        <v>155</v>
      </c>
      <c r="R151" s="163">
        <v>2007</v>
      </c>
      <c r="S151" s="194">
        <v>26.5</v>
      </c>
      <c r="T151" s="194">
        <f>IF(ISNUMBER(S151),S151/VLOOKUP($Q151,xRates!$A$1:$AA$267,studies!$R151-xRates!$B$1+2,FALSE),S151)</f>
        <v>26.5</v>
      </c>
      <c r="V151" s="194"/>
      <c r="W151" s="163" t="s">
        <v>157</v>
      </c>
      <c r="X151" s="163" t="s">
        <v>157</v>
      </c>
      <c r="Y151" s="163" t="s">
        <v>148</v>
      </c>
      <c r="Z151" s="163" t="s">
        <v>148</v>
      </c>
      <c r="AA151" s="163" t="s">
        <v>148</v>
      </c>
      <c r="AB151" s="163" t="s">
        <v>469</v>
      </c>
      <c r="AC151" s="196">
        <v>5599.42</v>
      </c>
      <c r="AD151" s="196">
        <v>5599.42</v>
      </c>
      <c r="AE151" s="192" t="str">
        <f t="shared" si="88"/>
        <v>No</v>
      </c>
      <c r="AF151" s="196">
        <f t="shared" si="79"/>
        <v>7245.4468569999999</v>
      </c>
      <c r="AG151" s="159" t="str">
        <f t="shared" si="89"/>
        <v>Cost-effective</v>
      </c>
      <c r="AH151" s="159" t="str">
        <f t="shared" si="90"/>
        <v>Cost-effective</v>
      </c>
      <c r="AI151" s="198">
        <f t="shared" si="91"/>
        <v>0.77281913876578445</v>
      </c>
      <c r="AJ151" s="198">
        <f t="shared" si="80"/>
        <v>0.56000000000000005</v>
      </c>
      <c r="AK151" s="159" t="str">
        <f t="shared" si="92"/>
        <v>Not cost-effective</v>
      </c>
      <c r="AL151" s="198">
        <f t="shared" si="81"/>
        <v>0.37</v>
      </c>
      <c r="AM151" s="162" t="str">
        <f t="shared" si="93"/>
        <v>Not cost-effective</v>
      </c>
      <c r="AN151" s="198" t="str">
        <f t="shared" si="82"/>
        <v/>
      </c>
      <c r="AO151" s="159" t="str">
        <f t="shared" si="94"/>
        <v>Cost-effective</v>
      </c>
      <c r="AP151" s="198" t="str">
        <f t="shared" si="83"/>
        <v/>
      </c>
      <c r="AQ151" s="159" t="str">
        <f t="shared" si="95"/>
        <v>Cost-effective</v>
      </c>
      <c r="AR151" s="198">
        <f t="shared" si="84"/>
        <v>1.6326529897923321</v>
      </c>
      <c r="AS151" s="159" t="str">
        <f t="shared" si="96"/>
        <v>Cost-effective</v>
      </c>
      <c r="AT151" s="198">
        <f t="shared" si="85"/>
        <v>0.67666749470350318</v>
      </c>
      <c r="AU151" s="159" t="str">
        <f t="shared" si="97"/>
        <v>Not cost-effective</v>
      </c>
      <c r="AV151" s="162" t="s">
        <v>160</v>
      </c>
      <c r="AW151" s="162" t="s">
        <v>1995</v>
      </c>
      <c r="AX151" s="168">
        <f t="shared" si="98"/>
        <v>1</v>
      </c>
      <c r="AY151" s="168">
        <f t="shared" si="99"/>
        <v>1</v>
      </c>
      <c r="AZ151" s="163">
        <f t="shared" si="100"/>
        <v>0</v>
      </c>
      <c r="BA151" s="163">
        <f t="shared" si="101"/>
        <v>0</v>
      </c>
      <c r="BB151" s="163">
        <f t="shared" si="102"/>
        <v>0</v>
      </c>
      <c r="BC151" s="163">
        <f t="shared" si="103"/>
        <v>1</v>
      </c>
      <c r="BD151" s="163">
        <f t="shared" si="104"/>
        <v>3</v>
      </c>
      <c r="BE151" s="163" t="s">
        <v>148</v>
      </c>
      <c r="BF151" s="162" t="s">
        <v>1425</v>
      </c>
    </row>
    <row r="152" spans="1:58">
      <c r="A152" s="159">
        <f t="shared" si="86"/>
        <v>44</v>
      </c>
      <c r="B152" s="159">
        <f t="shared" si="87"/>
        <v>2</v>
      </c>
      <c r="C152" s="190" t="str">
        <f t="shared" si="77"/>
        <v>4402</v>
      </c>
      <c r="D152" s="159" t="s">
        <v>58</v>
      </c>
      <c r="E152" s="163">
        <v>2010</v>
      </c>
      <c r="F152" s="162" t="s">
        <v>1965</v>
      </c>
      <c r="G152" s="182" t="s">
        <v>365</v>
      </c>
      <c r="H152" s="163" t="str">
        <f t="shared" si="78"/>
        <v>UM</v>
      </c>
      <c r="I152" s="163" t="s">
        <v>157</v>
      </c>
      <c r="J152" s="162" t="s">
        <v>150</v>
      </c>
      <c r="K152" s="162" t="s">
        <v>151</v>
      </c>
      <c r="L152" s="162" t="s">
        <v>149</v>
      </c>
      <c r="M152" s="162" t="s">
        <v>2014</v>
      </c>
      <c r="N152" s="163" t="s">
        <v>157</v>
      </c>
      <c r="O152" s="162" t="s">
        <v>153</v>
      </c>
      <c r="P152" s="162" t="s">
        <v>154</v>
      </c>
      <c r="Q152" s="162" t="s">
        <v>155</v>
      </c>
      <c r="R152" s="163">
        <v>2007</v>
      </c>
      <c r="S152" s="194">
        <v>26.5</v>
      </c>
      <c r="T152" s="194">
        <f>IF(ISNUMBER(S152),S152/VLOOKUP($Q152,xRates!$A$1:$AA$267,studies!$R152-xRates!$B$1+2,FALSE),S152)</f>
        <v>26.5</v>
      </c>
      <c r="V152" s="194"/>
      <c r="W152" s="163" t="s">
        <v>148</v>
      </c>
      <c r="X152" s="163" t="s">
        <v>157</v>
      </c>
      <c r="Y152" s="163" t="s">
        <v>148</v>
      </c>
      <c r="Z152" s="163" t="s">
        <v>148</v>
      </c>
      <c r="AA152" s="163" t="s">
        <v>148</v>
      </c>
      <c r="AB152" s="163" t="s">
        <v>469</v>
      </c>
      <c r="AC152" s="196">
        <v>2821.83</v>
      </c>
      <c r="AD152" s="196">
        <v>2821.83</v>
      </c>
      <c r="AE152" s="192" t="str">
        <f t="shared" si="88"/>
        <v>No</v>
      </c>
      <c r="AF152" s="196">
        <f t="shared" si="79"/>
        <v>7245.4468569999999</v>
      </c>
      <c r="AG152" s="159" t="str">
        <f t="shared" si="89"/>
        <v>Cost-effective</v>
      </c>
      <c r="AH152" s="159" t="str">
        <f t="shared" si="90"/>
        <v>Cost-effective</v>
      </c>
      <c r="AI152" s="198">
        <f t="shared" si="91"/>
        <v>0.38946252117959601</v>
      </c>
      <c r="AJ152" s="198">
        <f t="shared" si="80"/>
        <v>0.56000000000000005</v>
      </c>
      <c r="AK152" s="159" t="str">
        <f t="shared" si="92"/>
        <v>Cost-effective</v>
      </c>
      <c r="AL152" s="198">
        <f t="shared" si="81"/>
        <v>0.37</v>
      </c>
      <c r="AM152" s="162" t="str">
        <f t="shared" si="93"/>
        <v>Not cost-effective</v>
      </c>
      <c r="AN152" s="198" t="str">
        <f t="shared" si="82"/>
        <v/>
      </c>
      <c r="AO152" s="159" t="str">
        <f t="shared" si="94"/>
        <v>Cost-effective</v>
      </c>
      <c r="AP152" s="198" t="str">
        <f t="shared" si="83"/>
        <v/>
      </c>
      <c r="AQ152" s="159" t="str">
        <f t="shared" si="95"/>
        <v>Cost-effective</v>
      </c>
      <c r="AR152" s="198">
        <f t="shared" si="84"/>
        <v>1.6326529897923321</v>
      </c>
      <c r="AS152" s="159" t="str">
        <f t="shared" si="96"/>
        <v>Cost-effective</v>
      </c>
      <c r="AT152" s="198">
        <f t="shared" si="85"/>
        <v>0.67666749470350318</v>
      </c>
      <c r="AU152" s="159" t="str">
        <f t="shared" si="97"/>
        <v>Cost-effective</v>
      </c>
      <c r="AV152" s="162" t="s">
        <v>160</v>
      </c>
      <c r="AW152" s="162" t="s">
        <v>1995</v>
      </c>
      <c r="AX152" s="168">
        <f t="shared" si="98"/>
        <v>0</v>
      </c>
      <c r="AY152" s="168">
        <f t="shared" si="99"/>
        <v>1</v>
      </c>
      <c r="AZ152" s="163">
        <f t="shared" si="100"/>
        <v>0</v>
      </c>
      <c r="BA152" s="163">
        <f t="shared" si="101"/>
        <v>0</v>
      </c>
      <c r="BB152" s="163">
        <f t="shared" si="102"/>
        <v>0</v>
      </c>
      <c r="BC152" s="163">
        <f t="shared" si="103"/>
        <v>0</v>
      </c>
      <c r="BD152" s="163">
        <f t="shared" si="104"/>
        <v>1</v>
      </c>
      <c r="BE152" s="163" t="s">
        <v>148</v>
      </c>
      <c r="BF152" s="162" t="s">
        <v>1425</v>
      </c>
    </row>
    <row r="153" spans="1:58">
      <c r="A153" s="159">
        <f t="shared" si="86"/>
        <v>44</v>
      </c>
      <c r="B153" s="159">
        <f t="shared" si="87"/>
        <v>3</v>
      </c>
      <c r="C153" s="190" t="str">
        <f t="shared" si="77"/>
        <v>4403</v>
      </c>
      <c r="D153" s="159" t="s">
        <v>58</v>
      </c>
      <c r="E153" s="163">
        <v>2010</v>
      </c>
      <c r="F153" s="162" t="s">
        <v>1965</v>
      </c>
      <c r="G153" s="182" t="s">
        <v>365</v>
      </c>
      <c r="H153" s="163" t="str">
        <f t="shared" si="78"/>
        <v>UM</v>
      </c>
      <c r="I153" s="163" t="s">
        <v>157</v>
      </c>
      <c r="J153" s="162" t="s">
        <v>150</v>
      </c>
      <c r="K153" s="162" t="s">
        <v>151</v>
      </c>
      <c r="L153" s="162" t="s">
        <v>149</v>
      </c>
      <c r="M153" s="162" t="s">
        <v>2014</v>
      </c>
      <c r="N153" s="163" t="s">
        <v>157</v>
      </c>
      <c r="O153" s="162" t="s">
        <v>1979</v>
      </c>
      <c r="P153" s="162" t="s">
        <v>154</v>
      </c>
      <c r="Q153" s="162" t="s">
        <v>155</v>
      </c>
      <c r="R153" s="163">
        <v>2007</v>
      </c>
      <c r="S153" s="194">
        <v>26.5</v>
      </c>
      <c r="T153" s="194">
        <f>IF(ISNUMBER(S153),S153/VLOOKUP($Q153,xRates!$A$1:$AA$267,studies!$R153-xRates!$B$1+2,FALSE),S153)</f>
        <v>26.5</v>
      </c>
      <c r="V153" s="194"/>
      <c r="W153" s="163" t="s">
        <v>157</v>
      </c>
      <c r="X153" s="163" t="s">
        <v>157</v>
      </c>
      <c r="Y153" s="163" t="s">
        <v>148</v>
      </c>
      <c r="Z153" s="163" t="s">
        <v>148</v>
      </c>
      <c r="AA153" s="163" t="s">
        <v>148</v>
      </c>
      <c r="AB153" s="163" t="s">
        <v>469</v>
      </c>
      <c r="AC153" s="196">
        <v>5827.76</v>
      </c>
      <c r="AD153" s="196">
        <f>AC153</f>
        <v>5827.76</v>
      </c>
      <c r="AE153" s="192" t="str">
        <f t="shared" si="88"/>
        <v>No</v>
      </c>
      <c r="AF153" s="196">
        <f t="shared" si="79"/>
        <v>7245.4468569999999</v>
      </c>
      <c r="AG153" s="159" t="str">
        <f t="shared" si="89"/>
        <v>Cost-effective</v>
      </c>
      <c r="AH153" s="159" t="str">
        <f t="shared" si="90"/>
        <v>Cost-effective</v>
      </c>
      <c r="AI153" s="198">
        <f t="shared" si="91"/>
        <v>0.80433410319884713</v>
      </c>
      <c r="AJ153" s="198">
        <f t="shared" si="80"/>
        <v>0.56000000000000005</v>
      </c>
      <c r="AK153" s="159" t="str">
        <f t="shared" si="92"/>
        <v>Not cost-effective</v>
      </c>
      <c r="AL153" s="198">
        <f t="shared" si="81"/>
        <v>0.37</v>
      </c>
      <c r="AM153" s="162" t="str">
        <f t="shared" si="93"/>
        <v>Not cost-effective</v>
      </c>
      <c r="AN153" s="198" t="str">
        <f t="shared" si="82"/>
        <v/>
      </c>
      <c r="AO153" s="159" t="str">
        <f t="shared" si="94"/>
        <v>Cost-effective</v>
      </c>
      <c r="AP153" s="198" t="str">
        <f t="shared" si="83"/>
        <v/>
      </c>
      <c r="AQ153" s="159" t="str">
        <f t="shared" si="95"/>
        <v>Cost-effective</v>
      </c>
      <c r="AR153" s="198">
        <f t="shared" si="84"/>
        <v>1.6326529897923321</v>
      </c>
      <c r="AS153" s="159" t="str">
        <f t="shared" si="96"/>
        <v>Cost-effective</v>
      </c>
      <c r="AT153" s="198">
        <f t="shared" si="85"/>
        <v>0.67666749470350318</v>
      </c>
      <c r="AU153" s="159" t="str">
        <f t="shared" si="97"/>
        <v>Not cost-effective</v>
      </c>
      <c r="AV153" s="162" t="s">
        <v>160</v>
      </c>
      <c r="AW153" s="162" t="s">
        <v>1995</v>
      </c>
      <c r="AX153" s="168">
        <f t="shared" si="98"/>
        <v>1</v>
      </c>
      <c r="AY153" s="168">
        <f t="shared" si="99"/>
        <v>1</v>
      </c>
      <c r="AZ153" s="163">
        <f t="shared" si="100"/>
        <v>0</v>
      </c>
      <c r="BA153" s="163">
        <f t="shared" si="101"/>
        <v>0</v>
      </c>
      <c r="BB153" s="163">
        <f t="shared" si="102"/>
        <v>0</v>
      </c>
      <c r="BC153" s="163">
        <f t="shared" si="103"/>
        <v>1</v>
      </c>
      <c r="BD153" s="163">
        <f t="shared" si="104"/>
        <v>3</v>
      </c>
      <c r="BE153" s="163" t="s">
        <v>148</v>
      </c>
      <c r="BF153" s="162" t="s">
        <v>1425</v>
      </c>
    </row>
    <row r="154" spans="1:58">
      <c r="A154" s="159">
        <f t="shared" si="86"/>
        <v>45</v>
      </c>
      <c r="B154" s="159">
        <f t="shared" si="87"/>
        <v>1</v>
      </c>
      <c r="C154" s="190" t="str">
        <f t="shared" si="77"/>
        <v>4501</v>
      </c>
      <c r="D154" s="159" t="s">
        <v>64</v>
      </c>
      <c r="E154" s="163">
        <v>2010</v>
      </c>
      <c r="F154" s="162" t="s">
        <v>1966</v>
      </c>
      <c r="G154" s="182" t="s">
        <v>537</v>
      </c>
      <c r="H154" s="163" t="str">
        <f t="shared" si="78"/>
        <v>UM</v>
      </c>
      <c r="I154" s="163" t="s">
        <v>157</v>
      </c>
      <c r="J154" s="162" t="s">
        <v>183</v>
      </c>
      <c r="K154" s="162" t="s">
        <v>150</v>
      </c>
      <c r="L154" s="162" t="s">
        <v>651</v>
      </c>
      <c r="M154" s="162" t="s">
        <v>2013</v>
      </c>
      <c r="N154" s="163" t="s">
        <v>148</v>
      </c>
      <c r="O154" s="162" t="s">
        <v>1979</v>
      </c>
      <c r="P154" s="162" t="s">
        <v>553</v>
      </c>
      <c r="Q154" s="162" t="s">
        <v>537</v>
      </c>
      <c r="R154" s="163">
        <v>2008</v>
      </c>
      <c r="S154" s="194"/>
      <c r="T154" s="194"/>
      <c r="V154" s="194"/>
      <c r="W154" s="163" t="s">
        <v>157</v>
      </c>
      <c r="X154" s="163" t="s">
        <v>148</v>
      </c>
      <c r="Y154" s="163" t="s">
        <v>148</v>
      </c>
      <c r="Z154" s="163" t="s">
        <v>148</v>
      </c>
      <c r="AA154" s="163" t="s">
        <v>148</v>
      </c>
      <c r="AB154" s="163" t="s">
        <v>159</v>
      </c>
      <c r="AC154" s="196">
        <f>-228800000/3232.4</f>
        <v>-70783.318896176221</v>
      </c>
      <c r="AD154" s="196">
        <f>AC154/xRates!N129</f>
        <v>-6359.8491332821595</v>
      </c>
      <c r="AE154" s="192" t="str">
        <f t="shared" si="88"/>
        <v>Yes</v>
      </c>
      <c r="AF154" s="196">
        <f t="shared" si="79"/>
        <v>10016.57121</v>
      </c>
      <c r="AG154" s="159" t="str">
        <f t="shared" si="89"/>
        <v>Cost-saving</v>
      </c>
      <c r="AH154" s="159" t="str">
        <f t="shared" si="90"/>
        <v>Cost-saving</v>
      </c>
      <c r="AI154" s="198">
        <f t="shared" si="91"/>
        <v>-0.63493275292974827</v>
      </c>
      <c r="AJ154" s="198">
        <f t="shared" si="80"/>
        <v>0.97</v>
      </c>
      <c r="AK154" s="159" t="str">
        <f t="shared" si="92"/>
        <v>Cost-saving</v>
      </c>
      <c r="AL154" s="198">
        <f t="shared" si="81"/>
        <v>0.64</v>
      </c>
      <c r="AM154" s="162" t="str">
        <f t="shared" si="93"/>
        <v>Cost-saving</v>
      </c>
      <c r="AN154" s="198">
        <f t="shared" si="82"/>
        <v>0.6292666176774443</v>
      </c>
      <c r="AO154" s="159" t="str">
        <f t="shared" si="94"/>
        <v>Cost-saving</v>
      </c>
      <c r="AP154" s="198">
        <f t="shared" si="83"/>
        <v>0.22470477827865473</v>
      </c>
      <c r="AQ154" s="159" t="str">
        <f t="shared" si="95"/>
        <v>Cost-saving</v>
      </c>
      <c r="AR154" s="198">
        <f t="shared" si="84"/>
        <v>0.92216934171082232</v>
      </c>
      <c r="AS154" s="159" t="str">
        <f t="shared" si="96"/>
        <v>Cost-saving</v>
      </c>
      <c r="AT154" s="198">
        <f t="shared" si="85"/>
        <v>0.38219376705822333</v>
      </c>
      <c r="AU154" s="159" t="str">
        <f t="shared" si="97"/>
        <v>Cost-saving</v>
      </c>
      <c r="AV154" s="162" t="s">
        <v>160</v>
      </c>
      <c r="AW154" s="162" t="s">
        <v>1994</v>
      </c>
      <c r="AX154" s="168" t="str">
        <f t="shared" si="98"/>
        <v/>
      </c>
      <c r="AY154" s="168" t="str">
        <f t="shared" si="99"/>
        <v/>
      </c>
      <c r="AZ154" s="163" t="str">
        <f t="shared" si="100"/>
        <v/>
      </c>
      <c r="BA154" s="163" t="str">
        <f t="shared" si="101"/>
        <v/>
      </c>
      <c r="BB154" s="163" t="str">
        <f t="shared" si="102"/>
        <v/>
      </c>
      <c r="BC154" s="163" t="str">
        <f t="shared" si="103"/>
        <v/>
      </c>
      <c r="BD154" s="163">
        <f t="shared" si="104"/>
        <v>0</v>
      </c>
      <c r="BE154" s="163" t="s">
        <v>157</v>
      </c>
      <c r="BF154" s="162" t="s">
        <v>1425</v>
      </c>
    </row>
    <row r="155" spans="1:58">
      <c r="A155" s="159">
        <f t="shared" si="86"/>
        <v>45</v>
      </c>
      <c r="B155" s="159">
        <f t="shared" si="87"/>
        <v>2</v>
      </c>
      <c r="C155" s="190" t="str">
        <f t="shared" si="77"/>
        <v>4502</v>
      </c>
      <c r="D155" s="159" t="s">
        <v>64</v>
      </c>
      <c r="E155" s="163">
        <v>2010</v>
      </c>
      <c r="F155" s="162" t="s">
        <v>1966</v>
      </c>
      <c r="G155" s="182" t="s">
        <v>537</v>
      </c>
      <c r="H155" s="163" t="str">
        <f t="shared" si="78"/>
        <v>UM</v>
      </c>
      <c r="I155" s="163" t="s">
        <v>157</v>
      </c>
      <c r="J155" s="162" t="s">
        <v>183</v>
      </c>
      <c r="K155" s="162" t="s">
        <v>150</v>
      </c>
      <c r="L155" s="162" t="s">
        <v>651</v>
      </c>
      <c r="M155" s="162" t="s">
        <v>2013</v>
      </c>
      <c r="N155" s="163" t="s">
        <v>148</v>
      </c>
      <c r="O155" s="162" t="s">
        <v>1979</v>
      </c>
      <c r="P155" s="162" t="s">
        <v>553</v>
      </c>
      <c r="Q155" s="162" t="s">
        <v>537</v>
      </c>
      <c r="R155" s="163">
        <v>2008</v>
      </c>
      <c r="S155" s="194"/>
      <c r="T155" s="194"/>
      <c r="V155" s="194"/>
      <c r="W155" s="163" t="s">
        <v>148</v>
      </c>
      <c r="X155" s="163" t="s">
        <v>148</v>
      </c>
      <c r="Y155" s="163" t="s">
        <v>148</v>
      </c>
      <c r="Z155" s="163" t="s">
        <v>148</v>
      </c>
      <c r="AA155" s="163" t="s">
        <v>148</v>
      </c>
      <c r="AB155" s="163" t="s">
        <v>159</v>
      </c>
      <c r="AC155" s="196">
        <v>-999999</v>
      </c>
      <c r="AD155" s="196">
        <f>AC155/xRates!N130</f>
        <v>-999999</v>
      </c>
      <c r="AE155" s="192" t="str">
        <f t="shared" si="88"/>
        <v>Yes</v>
      </c>
      <c r="AF155" s="196">
        <f t="shared" si="79"/>
        <v>10016.57121</v>
      </c>
      <c r="AG155" s="159" t="str">
        <f t="shared" si="89"/>
        <v>Cost-saving</v>
      </c>
      <c r="AH155" s="159" t="str">
        <f t="shared" si="90"/>
        <v>Cost-saving</v>
      </c>
      <c r="AI155" s="198">
        <f t="shared" si="91"/>
        <v>-99.834462216137936</v>
      </c>
      <c r="AJ155" s="198">
        <f t="shared" si="80"/>
        <v>0.97</v>
      </c>
      <c r="AK155" s="159" t="str">
        <f t="shared" si="92"/>
        <v>Cost-saving</v>
      </c>
      <c r="AL155" s="198">
        <f t="shared" si="81"/>
        <v>0.64</v>
      </c>
      <c r="AM155" s="162" t="str">
        <f t="shared" si="93"/>
        <v>Cost-saving</v>
      </c>
      <c r="AN155" s="198">
        <f t="shared" si="82"/>
        <v>0.6292666176774443</v>
      </c>
      <c r="AO155" s="159" t="str">
        <f t="shared" si="94"/>
        <v>Cost-saving</v>
      </c>
      <c r="AP155" s="198">
        <f t="shared" si="83"/>
        <v>0.22470477827865473</v>
      </c>
      <c r="AQ155" s="159" t="str">
        <f t="shared" si="95"/>
        <v>Cost-saving</v>
      </c>
      <c r="AR155" s="198">
        <f t="shared" si="84"/>
        <v>0.92216934171082232</v>
      </c>
      <c r="AS155" s="159" t="str">
        <f t="shared" si="96"/>
        <v>Cost-saving</v>
      </c>
      <c r="AT155" s="198">
        <f t="shared" si="85"/>
        <v>0.38219376705822333</v>
      </c>
      <c r="AU155" s="159" t="str">
        <f t="shared" si="97"/>
        <v>Cost-saving</v>
      </c>
      <c r="AV155" s="162" t="s">
        <v>160</v>
      </c>
      <c r="AW155" s="162" t="s">
        <v>1994</v>
      </c>
      <c r="AX155" s="168" t="str">
        <f t="shared" si="98"/>
        <v/>
      </c>
      <c r="AY155" s="168" t="str">
        <f t="shared" si="99"/>
        <v/>
      </c>
      <c r="AZ155" s="163" t="str">
        <f t="shared" si="100"/>
        <v/>
      </c>
      <c r="BA155" s="163" t="str">
        <f t="shared" si="101"/>
        <v/>
      </c>
      <c r="BB155" s="163" t="str">
        <f t="shared" si="102"/>
        <v/>
      </c>
      <c r="BC155" s="163" t="str">
        <f t="shared" si="103"/>
        <v/>
      </c>
      <c r="BD155" s="163">
        <f t="shared" si="104"/>
        <v>0</v>
      </c>
      <c r="BE155" s="163" t="s">
        <v>157</v>
      </c>
      <c r="BF155" s="162" t="s">
        <v>1425</v>
      </c>
    </row>
    <row r="156" spans="1:58">
      <c r="A156" s="159">
        <f t="shared" si="86"/>
        <v>46</v>
      </c>
      <c r="B156" s="159">
        <f t="shared" si="87"/>
        <v>1</v>
      </c>
      <c r="C156" s="190" t="str">
        <f t="shared" si="77"/>
        <v>4601</v>
      </c>
      <c r="D156" s="159" t="s">
        <v>66</v>
      </c>
      <c r="E156" s="163">
        <v>2015</v>
      </c>
      <c r="F156" s="162" t="s">
        <v>1967</v>
      </c>
      <c r="G156" s="182" t="s">
        <v>559</v>
      </c>
      <c r="H156" s="163" t="str">
        <f t="shared" si="78"/>
        <v>UM</v>
      </c>
      <c r="I156" s="163" t="s">
        <v>157</v>
      </c>
      <c r="J156" s="162" t="s">
        <v>183</v>
      </c>
      <c r="K156" s="162" t="s">
        <v>151</v>
      </c>
      <c r="L156" s="162" t="s">
        <v>352</v>
      </c>
      <c r="N156" s="163" t="s">
        <v>148</v>
      </c>
      <c r="O156" s="162" t="s">
        <v>153</v>
      </c>
      <c r="P156" s="162" t="s">
        <v>154</v>
      </c>
      <c r="Q156" s="162" t="s">
        <v>155</v>
      </c>
      <c r="R156" s="163">
        <v>2014</v>
      </c>
      <c r="S156" s="194">
        <v>14.12</v>
      </c>
      <c r="T156" s="194">
        <f>IF(ISNUMBER(S156),S156/VLOOKUP($Q156,xRates!$A$1:$AA$267,studies!$R156-xRates!$B$1+2,FALSE),S156)</f>
        <v>14.12</v>
      </c>
      <c r="V156" s="194"/>
      <c r="W156" s="163" t="s">
        <v>157</v>
      </c>
      <c r="X156" s="163" t="s">
        <v>157</v>
      </c>
      <c r="Y156" s="163" t="s">
        <v>148</v>
      </c>
      <c r="Z156" s="163" t="s">
        <v>148</v>
      </c>
      <c r="AA156" s="163" t="s">
        <v>148</v>
      </c>
      <c r="AB156" s="163" t="s">
        <v>159</v>
      </c>
      <c r="AC156" s="196">
        <v>1340</v>
      </c>
      <c r="AD156" s="196">
        <f>(AC156*ppp!$P$68)/xRates!$T$59</f>
        <v>729.54644680023227</v>
      </c>
      <c r="AE156" s="192" t="str">
        <f t="shared" si="88"/>
        <v>No</v>
      </c>
      <c r="AF156" s="196">
        <f t="shared" si="79"/>
        <v>6377.0939289999997</v>
      </c>
      <c r="AG156" s="159" t="str">
        <f t="shared" si="89"/>
        <v>Cost-effective</v>
      </c>
      <c r="AH156" s="159" t="str">
        <f t="shared" si="90"/>
        <v>Cost-effective</v>
      </c>
      <c r="AI156" s="198">
        <f t="shared" si="91"/>
        <v>0.11440108220495247</v>
      </c>
      <c r="AJ156" s="198">
        <f t="shared" si="80"/>
        <v>1.1200000000000001</v>
      </c>
      <c r="AK156" s="159" t="str">
        <f t="shared" si="92"/>
        <v>Cost-effective</v>
      </c>
      <c r="AL156" s="198">
        <f t="shared" si="81"/>
        <v>0.72</v>
      </c>
      <c r="AM156" s="162" t="str">
        <f t="shared" si="93"/>
        <v>Cost-effective</v>
      </c>
      <c r="AN156" s="198">
        <f t="shared" si="82"/>
        <v>0.52688663945489422</v>
      </c>
      <c r="AO156" s="159" t="str">
        <f t="shared" si="94"/>
        <v>Cost-effective</v>
      </c>
      <c r="AP156" s="198">
        <f t="shared" si="83"/>
        <v>0.14166992687317431</v>
      </c>
      <c r="AQ156" s="159" t="str">
        <f t="shared" si="95"/>
        <v>Cost-effective</v>
      </c>
      <c r="AR156" s="198">
        <f t="shared" si="84"/>
        <v>1.342220475731396</v>
      </c>
      <c r="AS156" s="159" t="str">
        <f t="shared" si="96"/>
        <v>Cost-effective</v>
      </c>
      <c r="AT156" s="198">
        <f t="shared" si="85"/>
        <v>0.55620510853763905</v>
      </c>
      <c r="AU156" s="159" t="str">
        <f t="shared" si="97"/>
        <v>Cost-effective</v>
      </c>
      <c r="AV156" s="162" t="s">
        <v>160</v>
      </c>
      <c r="AW156" s="162" t="s">
        <v>1995</v>
      </c>
      <c r="AX156" s="168">
        <f t="shared" si="98"/>
        <v>0</v>
      </c>
      <c r="AY156" s="168">
        <f t="shared" si="99"/>
        <v>0</v>
      </c>
      <c r="AZ156" s="163">
        <f t="shared" si="100"/>
        <v>0</v>
      </c>
      <c r="BA156" s="163">
        <f t="shared" si="101"/>
        <v>0</v>
      </c>
      <c r="BB156" s="163">
        <f t="shared" si="102"/>
        <v>0</v>
      </c>
      <c r="BC156" s="163">
        <f t="shared" si="103"/>
        <v>0</v>
      </c>
      <c r="BD156" s="163">
        <f t="shared" si="104"/>
        <v>0</v>
      </c>
      <c r="BE156" s="163" t="s">
        <v>157</v>
      </c>
      <c r="BF156" s="169" t="s">
        <v>1426</v>
      </c>
    </row>
    <row r="157" spans="1:58">
      <c r="A157" s="159">
        <f t="shared" si="86"/>
        <v>46</v>
      </c>
      <c r="B157" s="159">
        <f t="shared" si="87"/>
        <v>2</v>
      </c>
      <c r="C157" s="190" t="str">
        <f t="shared" si="77"/>
        <v>4602</v>
      </c>
      <c r="D157" s="159" t="s">
        <v>66</v>
      </c>
      <c r="E157" s="163">
        <v>2015</v>
      </c>
      <c r="F157" s="162" t="s">
        <v>1967</v>
      </c>
      <c r="G157" s="182" t="s">
        <v>559</v>
      </c>
      <c r="H157" s="163" t="str">
        <f t="shared" si="78"/>
        <v>UM</v>
      </c>
      <c r="I157" s="163" t="s">
        <v>157</v>
      </c>
      <c r="J157" s="162" t="s">
        <v>186</v>
      </c>
      <c r="K157" s="162" t="s">
        <v>151</v>
      </c>
      <c r="L157" s="162" t="s">
        <v>353</v>
      </c>
      <c r="N157" s="163" t="s">
        <v>148</v>
      </c>
      <c r="O157" s="162" t="s">
        <v>153</v>
      </c>
      <c r="P157" s="162" t="s">
        <v>154</v>
      </c>
      <c r="Q157" s="162" t="s">
        <v>155</v>
      </c>
      <c r="R157" s="163">
        <v>2014</v>
      </c>
      <c r="S157" s="194">
        <v>15.68</v>
      </c>
      <c r="T157" s="194">
        <f>IF(ISNUMBER(S157),S157/VLOOKUP($Q157,xRates!$A$1:$AA$267,studies!$R157-xRates!$B$1+2,FALSE),S157)</f>
        <v>15.68</v>
      </c>
      <c r="V157" s="194"/>
      <c r="W157" s="163" t="s">
        <v>157</v>
      </c>
      <c r="X157" s="163" t="s">
        <v>157</v>
      </c>
      <c r="Y157" s="163" t="s">
        <v>148</v>
      </c>
      <c r="Z157" s="163" t="s">
        <v>148</v>
      </c>
      <c r="AA157" s="163" t="s">
        <v>148</v>
      </c>
      <c r="AB157" s="163" t="s">
        <v>159</v>
      </c>
      <c r="AC157" s="196">
        <v>1166</v>
      </c>
      <c r="AD157" s="196">
        <f>(AC157*ppp!$P$68)/xRates!$T$59</f>
        <v>634.81429624557518</v>
      </c>
      <c r="AE157" s="192" t="str">
        <f t="shared" si="88"/>
        <v>No</v>
      </c>
      <c r="AF157" s="196">
        <f t="shared" si="79"/>
        <v>6377.0939289999997</v>
      </c>
      <c r="AG157" s="159" t="str">
        <f t="shared" si="89"/>
        <v>Cost-effective</v>
      </c>
      <c r="AH157" s="159" t="str">
        <f t="shared" si="90"/>
        <v>Cost-effective</v>
      </c>
      <c r="AI157" s="198">
        <f t="shared" si="91"/>
        <v>9.9546016306697432E-2</v>
      </c>
      <c r="AJ157" s="198">
        <f t="shared" si="80"/>
        <v>1.1200000000000001</v>
      </c>
      <c r="AK157" s="159" t="str">
        <f t="shared" si="92"/>
        <v>Cost-effective</v>
      </c>
      <c r="AL157" s="198">
        <f t="shared" si="81"/>
        <v>0.72</v>
      </c>
      <c r="AM157" s="162" t="str">
        <f t="shared" si="93"/>
        <v>Cost-effective</v>
      </c>
      <c r="AN157" s="198">
        <f t="shared" si="82"/>
        <v>0.52688663945489422</v>
      </c>
      <c r="AO157" s="159" t="str">
        <f t="shared" si="94"/>
        <v>Cost-effective</v>
      </c>
      <c r="AP157" s="198">
        <f t="shared" si="83"/>
        <v>0.14166992687317431</v>
      </c>
      <c r="AQ157" s="159" t="str">
        <f t="shared" si="95"/>
        <v>Cost-effective</v>
      </c>
      <c r="AR157" s="198">
        <f t="shared" si="84"/>
        <v>1.342220475731396</v>
      </c>
      <c r="AS157" s="159" t="str">
        <f t="shared" si="96"/>
        <v>Cost-effective</v>
      </c>
      <c r="AT157" s="198">
        <f t="shared" si="85"/>
        <v>0.55620510853763905</v>
      </c>
      <c r="AU157" s="159" t="str">
        <f t="shared" si="97"/>
        <v>Cost-effective</v>
      </c>
      <c r="AV157" s="162" t="s">
        <v>160</v>
      </c>
      <c r="AW157" s="162" t="s">
        <v>1995</v>
      </c>
      <c r="AX157" s="168">
        <f t="shared" si="98"/>
        <v>0</v>
      </c>
      <c r="AY157" s="168">
        <f t="shared" si="99"/>
        <v>0</v>
      </c>
      <c r="AZ157" s="163">
        <f t="shared" si="100"/>
        <v>0</v>
      </c>
      <c r="BA157" s="163">
        <f t="shared" si="101"/>
        <v>0</v>
      </c>
      <c r="BB157" s="163">
        <f t="shared" si="102"/>
        <v>0</v>
      </c>
      <c r="BC157" s="163">
        <f t="shared" si="103"/>
        <v>0</v>
      </c>
      <c r="BD157" s="163">
        <f t="shared" si="104"/>
        <v>0</v>
      </c>
      <c r="BE157" s="163" t="s">
        <v>157</v>
      </c>
      <c r="BF157" s="169" t="s">
        <v>1426</v>
      </c>
    </row>
    <row r="158" spans="1:58">
      <c r="A158" s="159">
        <f t="shared" si="86"/>
        <v>46</v>
      </c>
      <c r="B158" s="159">
        <f t="shared" si="87"/>
        <v>3</v>
      </c>
      <c r="C158" s="190" t="str">
        <f t="shared" si="77"/>
        <v>4603</v>
      </c>
      <c r="D158" s="159" t="s">
        <v>66</v>
      </c>
      <c r="E158" s="163">
        <v>2015</v>
      </c>
      <c r="F158" s="162" t="s">
        <v>1967</v>
      </c>
      <c r="G158" s="182" t="s">
        <v>567</v>
      </c>
      <c r="H158" s="163" t="str">
        <f t="shared" si="78"/>
        <v>LM</v>
      </c>
      <c r="I158" s="163" t="s">
        <v>157</v>
      </c>
      <c r="J158" s="162" t="s">
        <v>183</v>
      </c>
      <c r="K158" s="162" t="s">
        <v>151</v>
      </c>
      <c r="L158" s="162" t="s">
        <v>352</v>
      </c>
      <c r="N158" s="163" t="s">
        <v>148</v>
      </c>
      <c r="O158" s="162" t="s">
        <v>153</v>
      </c>
      <c r="P158" s="162" t="s">
        <v>154</v>
      </c>
      <c r="Q158" s="162" t="s">
        <v>155</v>
      </c>
      <c r="R158" s="163">
        <v>2014</v>
      </c>
      <c r="S158" s="194">
        <v>14.12</v>
      </c>
      <c r="T158" s="194">
        <f>IF(ISNUMBER(S158),S158/VLOOKUP($Q158,xRates!$A$1:$AA$267,studies!$R158-xRates!$B$1+2,FALSE),S158)</f>
        <v>14.12</v>
      </c>
      <c r="V158" s="194"/>
      <c r="W158" s="163" t="s">
        <v>157</v>
      </c>
      <c r="X158" s="163" t="s">
        <v>157</v>
      </c>
      <c r="Y158" s="163" t="s">
        <v>148</v>
      </c>
      <c r="Z158" s="163" t="s">
        <v>148</v>
      </c>
      <c r="AA158" s="163" t="s">
        <v>148</v>
      </c>
      <c r="AB158" s="163" t="s">
        <v>159</v>
      </c>
      <c r="AC158" s="196">
        <v>796</v>
      </c>
      <c r="AD158" s="196">
        <f>(AC158*ppp!$P$99)/xRates!$T$87</f>
        <v>394.38250074639456</v>
      </c>
      <c r="AE158" s="192" t="str">
        <f t="shared" si="88"/>
        <v>No</v>
      </c>
      <c r="AF158" s="196">
        <f t="shared" si="79"/>
        <v>2190.653139</v>
      </c>
      <c r="AG158" s="159" t="str">
        <f t="shared" si="89"/>
        <v>Cost-effective</v>
      </c>
      <c r="AH158" s="159" t="str">
        <f t="shared" si="90"/>
        <v>Cost-effective</v>
      </c>
      <c r="AI158" s="198">
        <f t="shared" si="91"/>
        <v>0.18002964217622522</v>
      </c>
      <c r="AJ158" s="198">
        <f t="shared" si="80"/>
        <v>1</v>
      </c>
      <c r="AK158" s="159" t="str">
        <f t="shared" si="92"/>
        <v>Cost-effective</v>
      </c>
      <c r="AL158" s="198">
        <f t="shared" si="81"/>
        <v>0.68</v>
      </c>
      <c r="AM158" s="162" t="str">
        <f t="shared" si="93"/>
        <v>Cost-effective</v>
      </c>
      <c r="AN158" s="198">
        <f t="shared" si="82"/>
        <v>0.56367107654545934</v>
      </c>
      <c r="AO158" s="159" t="str">
        <f t="shared" si="94"/>
        <v>Cost-effective</v>
      </c>
      <c r="AP158" s="198">
        <f t="shared" si="83"/>
        <v>7.1356831270410731E-2</v>
      </c>
      <c r="AQ158" s="159" t="str">
        <f t="shared" si="95"/>
        <v>Not cost-effective</v>
      </c>
      <c r="AR158" s="198">
        <f t="shared" si="84"/>
        <v>0.7952412603385457</v>
      </c>
      <c r="AS158" s="159" t="str">
        <f t="shared" si="96"/>
        <v>Cost-effective</v>
      </c>
      <c r="AT158" s="198">
        <f t="shared" si="85"/>
        <v>0.32036526916737279</v>
      </c>
      <c r="AU158" s="159" t="str">
        <f t="shared" si="97"/>
        <v>Cost-effective</v>
      </c>
      <c r="AV158" s="162" t="s">
        <v>160</v>
      </c>
      <c r="AW158" s="162" t="s">
        <v>1995</v>
      </c>
      <c r="AX158" s="168">
        <f t="shared" si="98"/>
        <v>0</v>
      </c>
      <c r="AY158" s="168">
        <f t="shared" si="99"/>
        <v>0</v>
      </c>
      <c r="AZ158" s="163">
        <f t="shared" si="100"/>
        <v>0</v>
      </c>
      <c r="BA158" s="163">
        <f t="shared" si="101"/>
        <v>1</v>
      </c>
      <c r="BB158" s="163">
        <f t="shared" si="102"/>
        <v>0</v>
      </c>
      <c r="BC158" s="163">
        <f t="shared" si="103"/>
        <v>0</v>
      </c>
      <c r="BD158" s="163">
        <f t="shared" si="104"/>
        <v>1</v>
      </c>
      <c r="BE158" s="163" t="s">
        <v>157</v>
      </c>
      <c r="BF158" s="169" t="s">
        <v>1426</v>
      </c>
    </row>
    <row r="159" spans="1:58">
      <c r="A159" s="159">
        <f t="shared" si="86"/>
        <v>46</v>
      </c>
      <c r="B159" s="159">
        <f t="shared" si="87"/>
        <v>4</v>
      </c>
      <c r="C159" s="190" t="str">
        <f t="shared" si="77"/>
        <v>4604</v>
      </c>
      <c r="D159" s="159" t="s">
        <v>66</v>
      </c>
      <c r="E159" s="163">
        <v>2015</v>
      </c>
      <c r="F159" s="162" t="s">
        <v>1967</v>
      </c>
      <c r="G159" s="182" t="s">
        <v>567</v>
      </c>
      <c r="H159" s="163" t="str">
        <f t="shared" si="78"/>
        <v>LM</v>
      </c>
      <c r="I159" s="163" t="s">
        <v>157</v>
      </c>
      <c r="J159" s="162" t="s">
        <v>186</v>
      </c>
      <c r="K159" s="162" t="s">
        <v>151</v>
      </c>
      <c r="L159" s="162" t="s">
        <v>353</v>
      </c>
      <c r="N159" s="163" t="s">
        <v>148</v>
      </c>
      <c r="O159" s="162" t="s">
        <v>153</v>
      </c>
      <c r="P159" s="162" t="s">
        <v>154</v>
      </c>
      <c r="Q159" s="162" t="s">
        <v>155</v>
      </c>
      <c r="R159" s="163">
        <v>2014</v>
      </c>
      <c r="S159" s="194">
        <v>15.68</v>
      </c>
      <c r="T159" s="194">
        <f>IF(ISNUMBER(S159),S159/VLOOKUP($Q159,xRates!$A$1:$AA$267,studies!$R159-xRates!$B$1+2,FALSE),S159)</f>
        <v>15.68</v>
      </c>
      <c r="V159" s="194"/>
      <c r="W159" s="163" t="s">
        <v>157</v>
      </c>
      <c r="X159" s="163" t="s">
        <v>157</v>
      </c>
      <c r="Y159" s="163" t="s">
        <v>148</v>
      </c>
      <c r="Z159" s="163" t="s">
        <v>148</v>
      </c>
      <c r="AA159" s="163" t="s">
        <v>148</v>
      </c>
      <c r="AB159" s="163" t="s">
        <v>159</v>
      </c>
      <c r="AC159" s="196">
        <v>691</v>
      </c>
      <c r="AD159" s="196">
        <f>(AC159*ppp!$P$99)/xRates!$T$87</f>
        <v>342.35968343688273</v>
      </c>
      <c r="AE159" s="192" t="str">
        <f t="shared" si="88"/>
        <v>No</v>
      </c>
      <c r="AF159" s="196">
        <f t="shared" si="79"/>
        <v>2190.653139</v>
      </c>
      <c r="AG159" s="159" t="str">
        <f t="shared" si="89"/>
        <v>Cost-effective</v>
      </c>
      <c r="AH159" s="159" t="str">
        <f t="shared" si="90"/>
        <v>Cost-effective</v>
      </c>
      <c r="AI159" s="198">
        <f t="shared" si="91"/>
        <v>0.15628201349720053</v>
      </c>
      <c r="AJ159" s="198">
        <f t="shared" si="80"/>
        <v>1</v>
      </c>
      <c r="AK159" s="159" t="str">
        <f t="shared" si="92"/>
        <v>Cost-effective</v>
      </c>
      <c r="AL159" s="198">
        <f t="shared" si="81"/>
        <v>0.68</v>
      </c>
      <c r="AM159" s="162" t="str">
        <f t="shared" si="93"/>
        <v>Cost-effective</v>
      </c>
      <c r="AN159" s="198">
        <f t="shared" si="82"/>
        <v>0.56367107654545934</v>
      </c>
      <c r="AO159" s="159" t="str">
        <f t="shared" si="94"/>
        <v>Cost-effective</v>
      </c>
      <c r="AP159" s="198">
        <f t="shared" si="83"/>
        <v>7.1356831270410731E-2</v>
      </c>
      <c r="AQ159" s="159" t="str">
        <f t="shared" si="95"/>
        <v>Not cost-effective</v>
      </c>
      <c r="AR159" s="198">
        <f t="shared" si="84"/>
        <v>0.7952412603385457</v>
      </c>
      <c r="AS159" s="159" t="str">
        <f t="shared" si="96"/>
        <v>Cost-effective</v>
      </c>
      <c r="AT159" s="198">
        <f t="shared" si="85"/>
        <v>0.32036526916737279</v>
      </c>
      <c r="AU159" s="159" t="str">
        <f t="shared" si="97"/>
        <v>Cost-effective</v>
      </c>
      <c r="AV159" s="162" t="s">
        <v>160</v>
      </c>
      <c r="AW159" s="162" t="s">
        <v>1995</v>
      </c>
      <c r="AX159" s="168">
        <f t="shared" si="98"/>
        <v>0</v>
      </c>
      <c r="AY159" s="168">
        <f t="shared" si="99"/>
        <v>0</v>
      </c>
      <c r="AZ159" s="163">
        <f t="shared" si="100"/>
        <v>0</v>
      </c>
      <c r="BA159" s="163">
        <f t="shared" si="101"/>
        <v>1</v>
      </c>
      <c r="BB159" s="163">
        <f t="shared" si="102"/>
        <v>0</v>
      </c>
      <c r="BC159" s="163">
        <f t="shared" si="103"/>
        <v>0</v>
      </c>
      <c r="BD159" s="163">
        <f t="shared" si="104"/>
        <v>1</v>
      </c>
      <c r="BE159" s="163" t="s">
        <v>157</v>
      </c>
      <c r="BF159" s="169" t="s">
        <v>1426</v>
      </c>
    </row>
    <row r="160" spans="1:58">
      <c r="A160" s="159">
        <f t="shared" si="86"/>
        <v>46</v>
      </c>
      <c r="B160" s="159">
        <f t="shared" si="87"/>
        <v>5</v>
      </c>
      <c r="C160" s="190" t="str">
        <f t="shared" si="77"/>
        <v>4605</v>
      </c>
      <c r="D160" s="159" t="s">
        <v>66</v>
      </c>
      <c r="E160" s="163">
        <v>2015</v>
      </c>
      <c r="F160" s="162" t="s">
        <v>1967</v>
      </c>
      <c r="G160" s="182" t="s">
        <v>482</v>
      </c>
      <c r="H160" s="163" t="str">
        <f t="shared" si="78"/>
        <v>UM</v>
      </c>
      <c r="I160" s="163" t="s">
        <v>157</v>
      </c>
      <c r="J160" s="162" t="s">
        <v>183</v>
      </c>
      <c r="K160" s="162" t="s">
        <v>151</v>
      </c>
      <c r="L160" s="162" t="s">
        <v>352</v>
      </c>
      <c r="N160" s="163" t="s">
        <v>148</v>
      </c>
      <c r="O160" s="162" t="s">
        <v>153</v>
      </c>
      <c r="P160" s="162" t="s">
        <v>154</v>
      </c>
      <c r="Q160" s="162" t="s">
        <v>155</v>
      </c>
      <c r="R160" s="163">
        <v>2014</v>
      </c>
      <c r="S160" s="194">
        <v>14.12</v>
      </c>
      <c r="T160" s="194">
        <f>IF(ISNUMBER(S160),S160/VLOOKUP($Q160,xRates!$A$1:$AA$267,studies!$R160-xRates!$B$1+2,FALSE),S160)</f>
        <v>14.12</v>
      </c>
      <c r="V160" s="194"/>
      <c r="W160" s="163" t="s">
        <v>157</v>
      </c>
      <c r="X160" s="163" t="s">
        <v>157</v>
      </c>
      <c r="Y160" s="163" t="s">
        <v>148</v>
      </c>
      <c r="Z160" s="163" t="s">
        <v>148</v>
      </c>
      <c r="AA160" s="163" t="s">
        <v>148</v>
      </c>
      <c r="AB160" s="163" t="s">
        <v>159</v>
      </c>
      <c r="AC160" s="196">
        <v>1226</v>
      </c>
      <c r="AD160" s="196">
        <f>(AC160*ppp!$P$197)/xRates!$T$155</f>
        <v>654.8609366514122</v>
      </c>
      <c r="AE160" s="192" t="str">
        <f t="shared" si="88"/>
        <v>No</v>
      </c>
      <c r="AF160" s="196">
        <f t="shared" si="79"/>
        <v>6118.3181100000002</v>
      </c>
      <c r="AG160" s="159" t="str">
        <f t="shared" si="89"/>
        <v>Cost-effective</v>
      </c>
      <c r="AH160" s="159" t="str">
        <f t="shared" si="90"/>
        <v>Cost-effective</v>
      </c>
      <c r="AI160" s="198">
        <f t="shared" si="91"/>
        <v>0.10703283563845492</v>
      </c>
      <c r="AJ160" s="198">
        <f t="shared" si="80"/>
        <v>1.42</v>
      </c>
      <c r="AK160" s="159" t="str">
        <f t="shared" si="92"/>
        <v>Cost-effective</v>
      </c>
      <c r="AL160" s="198">
        <f t="shared" si="81"/>
        <v>0.83</v>
      </c>
      <c r="AM160" s="162" t="str">
        <f t="shared" si="93"/>
        <v>Cost-effective</v>
      </c>
      <c r="AN160" s="198">
        <f t="shared" si="82"/>
        <v>0.36702186686280114</v>
      </c>
      <c r="AO160" s="159" t="str">
        <f t="shared" si="94"/>
        <v>Cost-effective</v>
      </c>
      <c r="AP160" s="198">
        <f t="shared" si="83"/>
        <v>8.1522984654243125E-2</v>
      </c>
      <c r="AQ160" s="159" t="str">
        <f t="shared" si="95"/>
        <v>Not cost-effective</v>
      </c>
      <c r="AR160" s="198">
        <f t="shared" si="84"/>
        <v>1.1990418097854487</v>
      </c>
      <c r="AS160" s="159" t="str">
        <f t="shared" si="96"/>
        <v>Cost-effective</v>
      </c>
      <c r="AT160" s="198">
        <f t="shared" si="85"/>
        <v>0.49693704267921418</v>
      </c>
      <c r="AU160" s="159" t="str">
        <f t="shared" si="97"/>
        <v>Cost-effective</v>
      </c>
      <c r="AV160" s="162" t="s">
        <v>160</v>
      </c>
      <c r="AW160" s="162" t="s">
        <v>1995</v>
      </c>
      <c r="AX160" s="168">
        <f t="shared" si="98"/>
        <v>0</v>
      </c>
      <c r="AY160" s="168">
        <f t="shared" si="99"/>
        <v>0</v>
      </c>
      <c r="AZ160" s="163">
        <f t="shared" si="100"/>
        <v>0</v>
      </c>
      <c r="BA160" s="163">
        <f t="shared" si="101"/>
        <v>1</v>
      </c>
      <c r="BB160" s="163">
        <f t="shared" si="102"/>
        <v>0</v>
      </c>
      <c r="BC160" s="163">
        <f t="shared" si="103"/>
        <v>0</v>
      </c>
      <c r="BD160" s="163">
        <f t="shared" si="104"/>
        <v>1</v>
      </c>
      <c r="BE160" s="163" t="s">
        <v>157</v>
      </c>
      <c r="BF160" s="169" t="s">
        <v>1426</v>
      </c>
    </row>
    <row r="161" spans="1:58">
      <c r="A161" s="159">
        <f t="shared" si="86"/>
        <v>46</v>
      </c>
      <c r="B161" s="159">
        <f t="shared" si="87"/>
        <v>6</v>
      </c>
      <c r="C161" s="190" t="str">
        <f t="shared" si="77"/>
        <v>4606</v>
      </c>
      <c r="D161" s="159" t="s">
        <v>66</v>
      </c>
      <c r="E161" s="163">
        <v>2015</v>
      </c>
      <c r="F161" s="162" t="s">
        <v>1967</v>
      </c>
      <c r="G161" s="182" t="s">
        <v>482</v>
      </c>
      <c r="H161" s="163" t="str">
        <f t="shared" si="78"/>
        <v>UM</v>
      </c>
      <c r="I161" s="163" t="s">
        <v>157</v>
      </c>
      <c r="J161" s="162" t="s">
        <v>186</v>
      </c>
      <c r="K161" s="162" t="s">
        <v>151</v>
      </c>
      <c r="L161" s="162" t="s">
        <v>353</v>
      </c>
      <c r="N161" s="163" t="s">
        <v>148</v>
      </c>
      <c r="O161" s="162" t="s">
        <v>153</v>
      </c>
      <c r="P161" s="162" t="s">
        <v>154</v>
      </c>
      <c r="Q161" s="162" t="s">
        <v>155</v>
      </c>
      <c r="R161" s="163">
        <v>2014</v>
      </c>
      <c r="S161" s="194">
        <v>15.68</v>
      </c>
      <c r="T161" s="194">
        <f>IF(ISNUMBER(S161),S161/VLOOKUP($Q161,xRates!$A$1:$AA$267,studies!$R161-xRates!$B$1+2,FALSE),S161)</f>
        <v>15.68</v>
      </c>
      <c r="V161" s="194"/>
      <c r="W161" s="163" t="s">
        <v>157</v>
      </c>
      <c r="X161" s="163" t="s">
        <v>157</v>
      </c>
      <c r="Y161" s="163" t="s">
        <v>148</v>
      </c>
      <c r="Z161" s="163" t="s">
        <v>148</v>
      </c>
      <c r="AA161" s="163" t="s">
        <v>148</v>
      </c>
      <c r="AB161" s="163" t="s">
        <v>159</v>
      </c>
      <c r="AC161" s="196">
        <v>1026</v>
      </c>
      <c r="AD161" s="196">
        <f>(AC161*ppp!$P$197)/xRates!$T$155</f>
        <v>548.03207259734813</v>
      </c>
      <c r="AE161" s="192" t="str">
        <f t="shared" si="88"/>
        <v>No</v>
      </c>
      <c r="AF161" s="196">
        <f t="shared" si="79"/>
        <v>6118.3181100000002</v>
      </c>
      <c r="AG161" s="159" t="str">
        <f t="shared" si="89"/>
        <v>Cost-effective</v>
      </c>
      <c r="AH161" s="159" t="str">
        <f t="shared" si="90"/>
        <v>Cost-effective</v>
      </c>
      <c r="AI161" s="198">
        <f t="shared" si="91"/>
        <v>8.9572340428266506E-2</v>
      </c>
      <c r="AJ161" s="198">
        <f t="shared" si="80"/>
        <v>1.42</v>
      </c>
      <c r="AK161" s="159" t="str">
        <f t="shared" si="92"/>
        <v>Cost-effective</v>
      </c>
      <c r="AL161" s="198">
        <f t="shared" si="81"/>
        <v>0.83</v>
      </c>
      <c r="AM161" s="162" t="str">
        <f t="shared" si="93"/>
        <v>Cost-effective</v>
      </c>
      <c r="AN161" s="198">
        <f t="shared" si="82"/>
        <v>0.36702186686280114</v>
      </c>
      <c r="AO161" s="159" t="str">
        <f t="shared" si="94"/>
        <v>Cost-effective</v>
      </c>
      <c r="AP161" s="198">
        <f t="shared" si="83"/>
        <v>8.1522984654243125E-2</v>
      </c>
      <c r="AQ161" s="159" t="str">
        <f t="shared" si="95"/>
        <v>Not cost-effective</v>
      </c>
      <c r="AR161" s="198">
        <f t="shared" si="84"/>
        <v>1.1990418097854487</v>
      </c>
      <c r="AS161" s="159" t="str">
        <f t="shared" si="96"/>
        <v>Cost-effective</v>
      </c>
      <c r="AT161" s="198">
        <f t="shared" si="85"/>
        <v>0.49693704267921418</v>
      </c>
      <c r="AU161" s="159" t="str">
        <f t="shared" si="97"/>
        <v>Cost-effective</v>
      </c>
      <c r="AV161" s="162" t="s">
        <v>160</v>
      </c>
      <c r="AW161" s="162" t="s">
        <v>1995</v>
      </c>
      <c r="AX161" s="168">
        <f t="shared" si="98"/>
        <v>0</v>
      </c>
      <c r="AY161" s="168">
        <f t="shared" si="99"/>
        <v>0</v>
      </c>
      <c r="AZ161" s="163">
        <f t="shared" si="100"/>
        <v>0</v>
      </c>
      <c r="BA161" s="163">
        <f t="shared" si="101"/>
        <v>1</v>
      </c>
      <c r="BB161" s="163">
        <f t="shared" si="102"/>
        <v>0</v>
      </c>
      <c r="BC161" s="163">
        <f t="shared" si="103"/>
        <v>0</v>
      </c>
      <c r="BD161" s="163">
        <f t="shared" si="104"/>
        <v>1</v>
      </c>
      <c r="BE161" s="163" t="s">
        <v>157</v>
      </c>
      <c r="BF161" s="169" t="s">
        <v>1426</v>
      </c>
    </row>
    <row r="162" spans="1:58">
      <c r="A162" s="159">
        <f t="shared" si="86"/>
        <v>47</v>
      </c>
      <c r="B162" s="159">
        <f t="shared" si="87"/>
        <v>1</v>
      </c>
      <c r="C162" s="190" t="str">
        <f t="shared" si="77"/>
        <v>4701</v>
      </c>
      <c r="D162" s="159" t="s">
        <v>69</v>
      </c>
      <c r="E162" s="163">
        <v>2018</v>
      </c>
      <c r="F162" s="162" t="s">
        <v>1968</v>
      </c>
      <c r="G162" s="182" t="s">
        <v>421</v>
      </c>
      <c r="H162" s="163" t="str">
        <f t="shared" ref="H162:H193" si="105">VLOOKUP(G162,income,R162-1985,FALSE)</f>
        <v>UM</v>
      </c>
      <c r="I162" s="163" t="s">
        <v>157</v>
      </c>
      <c r="J162" s="162" t="s">
        <v>186</v>
      </c>
      <c r="K162" s="162" t="s">
        <v>151</v>
      </c>
      <c r="L162" s="162" t="s">
        <v>353</v>
      </c>
      <c r="M162" s="162" t="s">
        <v>2013</v>
      </c>
      <c r="N162" s="163" t="s">
        <v>148</v>
      </c>
      <c r="O162" s="162" t="s">
        <v>1979</v>
      </c>
      <c r="P162" s="162" t="s">
        <v>154</v>
      </c>
      <c r="Q162" s="162" t="s">
        <v>155</v>
      </c>
      <c r="R162" s="163">
        <v>2014</v>
      </c>
      <c r="S162" s="194">
        <v>15.68</v>
      </c>
      <c r="T162" s="194">
        <f>IF(ISNUMBER(S162),S162/VLOOKUP($Q162,xRates!$A$1:$AA$267,studies!$R162-xRates!$B$1+2,FALSE),S162)</f>
        <v>15.68</v>
      </c>
      <c r="V162" s="194"/>
      <c r="W162" s="163" t="s">
        <v>157</v>
      </c>
      <c r="X162" s="163" t="s">
        <v>157</v>
      </c>
      <c r="Y162" s="163" t="s">
        <v>148</v>
      </c>
      <c r="Z162" s="163" t="s">
        <v>148</v>
      </c>
      <c r="AA162" s="163" t="s">
        <v>148</v>
      </c>
      <c r="AB162" s="163" t="s">
        <v>469</v>
      </c>
      <c r="AC162" s="196">
        <v>2319</v>
      </c>
      <c r="AD162" s="196">
        <f>AC162</f>
        <v>2319</v>
      </c>
      <c r="AE162" s="192" t="str">
        <f t="shared" si="88"/>
        <v>No</v>
      </c>
      <c r="AF162" s="196">
        <f t="shared" ref="AF162:AF197" si="106">VLOOKUP(G162,gdppc,R162-1958,FALSE)</f>
        <v>8114.3439209999997</v>
      </c>
      <c r="AG162" s="159" t="str">
        <f t="shared" si="89"/>
        <v>Cost-effective</v>
      </c>
      <c r="AH162" s="159" t="str">
        <f t="shared" si="90"/>
        <v>Cost-effective</v>
      </c>
      <c r="AI162" s="198">
        <f t="shared" si="91"/>
        <v>0.28579020344434819</v>
      </c>
      <c r="AJ162" s="198">
        <f t="shared" ref="AJ162:AJ197" si="107">IFERROR(VLOOKUP(G162,ochalek,11,FALSE),"")</f>
        <v>1.89</v>
      </c>
      <c r="AK162" s="159" t="str">
        <f t="shared" si="92"/>
        <v>Cost-effective</v>
      </c>
      <c r="AL162" s="198">
        <f t="shared" ref="AL162:AL197" si="108">IFERROR(VLOOKUP(G162,ochalek,10,FALSE),"")</f>
        <v>1.17</v>
      </c>
      <c r="AM162" s="162" t="str">
        <f t="shared" si="93"/>
        <v>Cost-effective</v>
      </c>
      <c r="AN162" s="198">
        <f t="shared" ref="AN162:AN197" si="109">IFERROR(VLOOKUP(G162,woods,6,FALSE),"")</f>
        <v>0.67142448878179284</v>
      </c>
      <c r="AO162" s="159" t="str">
        <f t="shared" si="94"/>
        <v>Cost-effective</v>
      </c>
      <c r="AP162" s="198">
        <f t="shared" ref="AP162:AP197" si="110">IFERROR(VLOOKUP(G162,woods,5,FALSE),"")</f>
        <v>0.16670017209696561</v>
      </c>
      <c r="AQ162" s="159" t="str">
        <f t="shared" si="95"/>
        <v>Not cost-effective</v>
      </c>
      <c r="AR162" s="198">
        <f t="shared" ref="AR162:AR197" si="111">IFERROR(VLOOKUP(G162,riviere,8,FALSE),"")</f>
        <v>1.3237396338136047</v>
      </c>
      <c r="AS162" s="159" t="str">
        <f t="shared" si="96"/>
        <v>Cost-effective</v>
      </c>
      <c r="AT162" s="198">
        <f t="shared" ref="AT162:AT197" si="112">IFERROR(VLOOKUP(G162,riviere,7,FALSE),"")</f>
        <v>0.54863988350299309</v>
      </c>
      <c r="AU162" s="159" t="str">
        <f t="shared" si="97"/>
        <v>Cost-effective</v>
      </c>
      <c r="AV162" s="162" t="s">
        <v>210</v>
      </c>
      <c r="AW162" s="162" t="s">
        <v>1995</v>
      </c>
      <c r="AX162" s="168">
        <f t="shared" si="98"/>
        <v>0</v>
      </c>
      <c r="AY162" s="168">
        <f t="shared" si="99"/>
        <v>0</v>
      </c>
      <c r="AZ162" s="163">
        <f t="shared" si="100"/>
        <v>0</v>
      </c>
      <c r="BA162" s="163">
        <f t="shared" si="101"/>
        <v>1</v>
      </c>
      <c r="BB162" s="163">
        <f t="shared" si="102"/>
        <v>0</v>
      </c>
      <c r="BC162" s="163">
        <f t="shared" si="103"/>
        <v>0</v>
      </c>
      <c r="BD162" s="163">
        <f t="shared" si="104"/>
        <v>1</v>
      </c>
      <c r="BE162" s="163" t="s">
        <v>157</v>
      </c>
      <c r="BF162" s="162" t="s">
        <v>1426</v>
      </c>
    </row>
    <row r="163" spans="1:58">
      <c r="A163" s="159">
        <f t="shared" ref="A163:A197" si="113">IF(F163=F162,A162,A162+1)</f>
        <v>47</v>
      </c>
      <c r="B163" s="159">
        <f t="shared" ref="B163:B197" si="114">IF(F163=F162,B162+1,1)</f>
        <v>2</v>
      </c>
      <c r="C163" s="190" t="str">
        <f t="shared" si="77"/>
        <v>4702</v>
      </c>
      <c r="D163" s="159" t="s">
        <v>69</v>
      </c>
      <c r="E163" s="163">
        <v>2018</v>
      </c>
      <c r="F163" s="162" t="s">
        <v>1968</v>
      </c>
      <c r="G163" s="182" t="s">
        <v>421</v>
      </c>
      <c r="H163" s="163" t="str">
        <f t="shared" si="105"/>
        <v>UM</v>
      </c>
      <c r="I163" s="163" t="s">
        <v>157</v>
      </c>
      <c r="J163" s="162" t="s">
        <v>183</v>
      </c>
      <c r="K163" s="162" t="s">
        <v>151</v>
      </c>
      <c r="L163" s="162" t="s">
        <v>352</v>
      </c>
      <c r="M163" s="162" t="s">
        <v>2013</v>
      </c>
      <c r="N163" s="163" t="s">
        <v>148</v>
      </c>
      <c r="O163" s="162" t="s">
        <v>1979</v>
      </c>
      <c r="P163" s="162" t="s">
        <v>154</v>
      </c>
      <c r="Q163" s="162" t="s">
        <v>155</v>
      </c>
      <c r="R163" s="163">
        <v>2014</v>
      </c>
      <c r="S163" s="194">
        <v>14.12</v>
      </c>
      <c r="T163" s="194">
        <f>IF(ISNUMBER(S163),S163/VLOOKUP($Q163,xRates!$A$1:$AA$267,studies!$R163-xRates!$B$1+2,FALSE),S163)</f>
        <v>14.12</v>
      </c>
      <c r="V163" s="194"/>
      <c r="W163" s="163" t="s">
        <v>157</v>
      </c>
      <c r="X163" s="163" t="s">
        <v>157</v>
      </c>
      <c r="Y163" s="163" t="s">
        <v>148</v>
      </c>
      <c r="Z163" s="163" t="s">
        <v>148</v>
      </c>
      <c r="AA163" s="163" t="s">
        <v>148</v>
      </c>
      <c r="AB163" s="163" t="s">
        <v>469</v>
      </c>
      <c r="AC163" s="196">
        <v>1770</v>
      </c>
      <c r="AD163" s="196">
        <f>AC163</f>
        <v>1770</v>
      </c>
      <c r="AE163" s="192" t="str">
        <f t="shared" si="88"/>
        <v>No</v>
      </c>
      <c r="AF163" s="196">
        <f t="shared" si="106"/>
        <v>8114.3439209999997</v>
      </c>
      <c r="AG163" s="159" t="str">
        <f t="shared" si="89"/>
        <v>Cost-effective</v>
      </c>
      <c r="AH163" s="159" t="str">
        <f t="shared" si="90"/>
        <v>Cost-effective</v>
      </c>
      <c r="AI163" s="198">
        <f t="shared" si="91"/>
        <v>0.21813223807524637</v>
      </c>
      <c r="AJ163" s="198">
        <f t="shared" si="107"/>
        <v>1.89</v>
      </c>
      <c r="AK163" s="159" t="str">
        <f t="shared" si="92"/>
        <v>Cost-effective</v>
      </c>
      <c r="AL163" s="198">
        <f t="shared" si="108"/>
        <v>1.17</v>
      </c>
      <c r="AM163" s="162" t="str">
        <f t="shared" si="93"/>
        <v>Cost-effective</v>
      </c>
      <c r="AN163" s="198">
        <f t="shared" si="109"/>
        <v>0.67142448878179284</v>
      </c>
      <c r="AO163" s="159" t="str">
        <f t="shared" si="94"/>
        <v>Cost-effective</v>
      </c>
      <c r="AP163" s="198">
        <f t="shared" si="110"/>
        <v>0.16670017209696561</v>
      </c>
      <c r="AQ163" s="159" t="str">
        <f t="shared" si="95"/>
        <v>Not cost-effective</v>
      </c>
      <c r="AR163" s="198">
        <f t="shared" si="111"/>
        <v>1.3237396338136047</v>
      </c>
      <c r="AS163" s="159" t="str">
        <f t="shared" si="96"/>
        <v>Cost-effective</v>
      </c>
      <c r="AT163" s="198">
        <f t="shared" si="112"/>
        <v>0.54863988350299309</v>
      </c>
      <c r="AU163" s="159" t="str">
        <f t="shared" si="97"/>
        <v>Cost-effective</v>
      </c>
      <c r="AV163" s="162" t="s">
        <v>210</v>
      </c>
      <c r="AW163" s="162" t="s">
        <v>1995</v>
      </c>
      <c r="AX163" s="168">
        <f t="shared" si="98"/>
        <v>0</v>
      </c>
      <c r="AY163" s="168">
        <f t="shared" si="99"/>
        <v>0</v>
      </c>
      <c r="AZ163" s="163">
        <f t="shared" si="100"/>
        <v>0</v>
      </c>
      <c r="BA163" s="163">
        <f t="shared" si="101"/>
        <v>1</v>
      </c>
      <c r="BB163" s="163">
        <f t="shared" si="102"/>
        <v>0</v>
      </c>
      <c r="BC163" s="163">
        <f t="shared" si="103"/>
        <v>0</v>
      </c>
      <c r="BD163" s="163">
        <f t="shared" si="104"/>
        <v>1</v>
      </c>
      <c r="BE163" s="163" t="s">
        <v>157</v>
      </c>
      <c r="BF163" s="162" t="s">
        <v>1426</v>
      </c>
    </row>
    <row r="164" spans="1:58">
      <c r="A164" s="159">
        <f t="shared" si="113"/>
        <v>47</v>
      </c>
      <c r="B164" s="159">
        <f t="shared" si="114"/>
        <v>3</v>
      </c>
      <c r="C164" s="190" t="str">
        <f t="shared" si="77"/>
        <v>4703</v>
      </c>
      <c r="D164" s="159" t="s">
        <v>69</v>
      </c>
      <c r="E164" s="163">
        <v>2018</v>
      </c>
      <c r="F164" s="162" t="s">
        <v>1968</v>
      </c>
      <c r="G164" s="182" t="s">
        <v>421</v>
      </c>
      <c r="H164" s="163" t="str">
        <f t="shared" si="105"/>
        <v>UM</v>
      </c>
      <c r="I164" s="163" t="s">
        <v>157</v>
      </c>
      <c r="J164" s="162" t="s">
        <v>186</v>
      </c>
      <c r="K164" s="162" t="s">
        <v>183</v>
      </c>
      <c r="L164" s="162" t="s">
        <v>371</v>
      </c>
      <c r="M164" s="162" t="s">
        <v>2013</v>
      </c>
      <c r="N164" s="163" t="s">
        <v>148</v>
      </c>
      <c r="O164" s="162" t="s">
        <v>1979</v>
      </c>
      <c r="P164" s="162" t="s">
        <v>154</v>
      </c>
      <c r="Q164" s="162" t="s">
        <v>155</v>
      </c>
      <c r="R164" s="163">
        <v>2014</v>
      </c>
      <c r="S164" s="194">
        <v>15.68</v>
      </c>
      <c r="T164" s="194">
        <f>IF(ISNUMBER(S164),S164/VLOOKUP($Q164,xRates!$A$1:$AA$267,studies!$R164-xRates!$B$1+2,FALSE),S164)</f>
        <v>15.68</v>
      </c>
      <c r="U164" s="163">
        <v>14.12</v>
      </c>
      <c r="V164" s="194">
        <v>14.12</v>
      </c>
      <c r="W164" s="163" t="s">
        <v>157</v>
      </c>
      <c r="X164" s="163" t="s">
        <v>157</v>
      </c>
      <c r="Y164" s="163" t="s">
        <v>148</v>
      </c>
      <c r="Z164" s="163" t="s">
        <v>148</v>
      </c>
      <c r="AA164" s="163" t="s">
        <v>148</v>
      </c>
      <c r="AB164" s="163" t="s">
        <v>469</v>
      </c>
      <c r="AC164" s="196">
        <v>2217</v>
      </c>
      <c r="AD164" s="196">
        <f>AC164</f>
        <v>2217</v>
      </c>
      <c r="AE164" s="192" t="str">
        <f t="shared" si="88"/>
        <v>No</v>
      </c>
      <c r="AF164" s="196">
        <f t="shared" si="106"/>
        <v>8114.3439209999997</v>
      </c>
      <c r="AG164" s="159" t="str">
        <f t="shared" si="89"/>
        <v>Cost-effective</v>
      </c>
      <c r="AH164" s="159" t="str">
        <f t="shared" si="90"/>
        <v>Cost-effective</v>
      </c>
      <c r="AI164" s="198">
        <f t="shared" si="91"/>
        <v>0.27321987108068996</v>
      </c>
      <c r="AJ164" s="198">
        <f t="shared" si="107"/>
        <v>1.89</v>
      </c>
      <c r="AK164" s="159" t="str">
        <f t="shared" si="92"/>
        <v>Cost-effective</v>
      </c>
      <c r="AL164" s="198">
        <f t="shared" si="108"/>
        <v>1.17</v>
      </c>
      <c r="AM164" s="162" t="str">
        <f t="shared" si="93"/>
        <v>Cost-effective</v>
      </c>
      <c r="AN164" s="198">
        <f t="shared" si="109"/>
        <v>0.67142448878179284</v>
      </c>
      <c r="AO164" s="159" t="str">
        <f t="shared" si="94"/>
        <v>Cost-effective</v>
      </c>
      <c r="AP164" s="198">
        <f t="shared" si="110"/>
        <v>0.16670017209696561</v>
      </c>
      <c r="AQ164" s="159" t="str">
        <f t="shared" si="95"/>
        <v>Not cost-effective</v>
      </c>
      <c r="AR164" s="198">
        <f t="shared" si="111"/>
        <v>1.3237396338136047</v>
      </c>
      <c r="AS164" s="159" t="str">
        <f t="shared" si="96"/>
        <v>Cost-effective</v>
      </c>
      <c r="AT164" s="198">
        <f t="shared" si="112"/>
        <v>0.54863988350299309</v>
      </c>
      <c r="AU164" s="159" t="str">
        <f t="shared" si="97"/>
        <v>Cost-effective</v>
      </c>
      <c r="AV164" s="162" t="s">
        <v>210</v>
      </c>
      <c r="AW164" s="162" t="s">
        <v>1995</v>
      </c>
      <c r="AX164" s="168">
        <f t="shared" si="98"/>
        <v>0</v>
      </c>
      <c r="AY164" s="168">
        <f t="shared" si="99"/>
        <v>0</v>
      </c>
      <c r="AZ164" s="163">
        <f t="shared" si="100"/>
        <v>0</v>
      </c>
      <c r="BA164" s="163">
        <f t="shared" si="101"/>
        <v>1</v>
      </c>
      <c r="BB164" s="163">
        <f t="shared" si="102"/>
        <v>0</v>
      </c>
      <c r="BC164" s="163">
        <f t="shared" si="103"/>
        <v>0</v>
      </c>
      <c r="BD164" s="163">
        <f t="shared" si="104"/>
        <v>1</v>
      </c>
      <c r="BE164" s="163" t="s">
        <v>157</v>
      </c>
      <c r="BF164" s="162" t="s">
        <v>1426</v>
      </c>
    </row>
    <row r="165" spans="1:58">
      <c r="A165" s="159">
        <f t="shared" si="113"/>
        <v>48</v>
      </c>
      <c r="B165" s="159">
        <f t="shared" si="114"/>
        <v>1</v>
      </c>
      <c r="C165" s="190" t="str">
        <f t="shared" si="77"/>
        <v>4801</v>
      </c>
      <c r="D165" s="159" t="s">
        <v>71</v>
      </c>
      <c r="E165" s="192">
        <v>2019</v>
      </c>
      <c r="F165" s="162" t="s">
        <v>1969</v>
      </c>
      <c r="G165" s="162" t="s">
        <v>455</v>
      </c>
      <c r="H165" s="163" t="str">
        <f t="shared" si="105"/>
        <v>UM</v>
      </c>
      <c r="I165" s="163" t="s">
        <v>157</v>
      </c>
      <c r="J165" s="162" t="s">
        <v>186</v>
      </c>
      <c r="K165" s="162" t="s">
        <v>183</v>
      </c>
      <c r="L165" s="162" t="s">
        <v>371</v>
      </c>
      <c r="M165" s="162" t="s">
        <v>2014</v>
      </c>
      <c r="N165" s="163" t="s">
        <v>148</v>
      </c>
      <c r="O165" s="164" t="s">
        <v>1979</v>
      </c>
      <c r="P165" s="162" t="s">
        <v>578</v>
      </c>
      <c r="Q165" s="162" t="s">
        <v>579</v>
      </c>
      <c r="R165" s="192">
        <v>2016</v>
      </c>
      <c r="S165" s="194">
        <v>23.78</v>
      </c>
      <c r="T165" s="194">
        <f>IF(ISNUMBER(S165),S165/VLOOKUP($Q165,xRates!$A$1:$AA$267,studies!$R165-xRates!$B$1+2,FALSE),S165)</f>
        <v>26.32215602334637</v>
      </c>
      <c r="V165" s="194"/>
      <c r="W165" s="163" t="s">
        <v>157</v>
      </c>
      <c r="X165" s="163" t="s">
        <v>157</v>
      </c>
      <c r="Y165" s="163" t="s">
        <v>148</v>
      </c>
      <c r="Z165" s="163" t="s">
        <v>148</v>
      </c>
      <c r="AA165" s="163" t="s">
        <v>148</v>
      </c>
      <c r="AB165" s="163" t="s">
        <v>159</v>
      </c>
      <c r="AC165" s="193">
        <v>999999</v>
      </c>
      <c r="AD165" s="193">
        <v>999999</v>
      </c>
      <c r="AE165" s="192" t="str">
        <f t="shared" si="88"/>
        <v>No</v>
      </c>
      <c r="AF165" s="193">
        <f t="shared" si="106"/>
        <v>10894.60338</v>
      </c>
      <c r="AG165" s="159" t="str">
        <f t="shared" si="89"/>
        <v>Not cost-effective</v>
      </c>
      <c r="AH165" s="159" t="str">
        <f t="shared" si="90"/>
        <v>Not cost-effective</v>
      </c>
      <c r="AI165" s="198">
        <f t="shared" si="91"/>
        <v>91.788472248174671</v>
      </c>
      <c r="AJ165" s="198">
        <f t="shared" si="107"/>
        <v>1.43</v>
      </c>
      <c r="AK165" s="159" t="str">
        <f t="shared" si="92"/>
        <v>Not cost-effective</v>
      </c>
      <c r="AL165" s="198">
        <f t="shared" si="108"/>
        <v>0.82</v>
      </c>
      <c r="AM165" s="162" t="str">
        <f t="shared" si="93"/>
        <v>Not cost-effective</v>
      </c>
      <c r="AN165" s="198">
        <f t="shared" si="109"/>
        <v>0.54388575340378054</v>
      </c>
      <c r="AO165" s="159" t="str">
        <f t="shared" si="94"/>
        <v>Not cost-effective</v>
      </c>
      <c r="AP165" s="198">
        <f t="shared" si="110"/>
        <v>0.2338526413848058</v>
      </c>
      <c r="AQ165" s="159" t="str">
        <f t="shared" si="95"/>
        <v>Not cost-effective</v>
      </c>
      <c r="AR165" s="198">
        <f t="shared" si="111"/>
        <v>0.76018072360236422</v>
      </c>
      <c r="AS165" s="159" t="str">
        <f t="shared" si="96"/>
        <v>Not cost-effective</v>
      </c>
      <c r="AT165" s="198">
        <f t="shared" si="112"/>
        <v>0.31507923271318067</v>
      </c>
      <c r="AU165" s="159" t="str">
        <f t="shared" si="97"/>
        <v>Not cost-effective</v>
      </c>
      <c r="AV165" s="162" t="s">
        <v>210</v>
      </c>
      <c r="AW165" s="162" t="s">
        <v>1993</v>
      </c>
      <c r="AX165" s="168" t="str">
        <f t="shared" si="98"/>
        <v/>
      </c>
      <c r="AY165" s="168" t="str">
        <f t="shared" si="99"/>
        <v/>
      </c>
      <c r="AZ165" s="163" t="str">
        <f t="shared" si="100"/>
        <v/>
      </c>
      <c r="BA165" s="163" t="str">
        <f t="shared" si="101"/>
        <v/>
      </c>
      <c r="BB165" s="163" t="str">
        <f t="shared" si="102"/>
        <v/>
      </c>
      <c r="BC165" s="163" t="str">
        <f t="shared" si="103"/>
        <v/>
      </c>
      <c r="BD165" s="163">
        <f t="shared" si="104"/>
        <v>0</v>
      </c>
      <c r="BE165" s="163" t="s">
        <v>157</v>
      </c>
      <c r="BF165" s="162" t="s">
        <v>1425</v>
      </c>
    </row>
    <row r="166" spans="1:58">
      <c r="A166" s="159">
        <f t="shared" si="113"/>
        <v>49</v>
      </c>
      <c r="B166" s="159">
        <f t="shared" si="114"/>
        <v>1</v>
      </c>
      <c r="C166" s="190" t="str">
        <f t="shared" si="77"/>
        <v>4901</v>
      </c>
      <c r="D166" s="159" t="s">
        <v>73</v>
      </c>
      <c r="E166" s="163">
        <v>2019</v>
      </c>
      <c r="F166" s="162" t="s">
        <v>1970</v>
      </c>
      <c r="G166" s="182" t="s">
        <v>583</v>
      </c>
      <c r="H166" s="163" t="str">
        <f t="shared" si="105"/>
        <v>LM</v>
      </c>
      <c r="I166" s="163" t="s">
        <v>157</v>
      </c>
      <c r="J166" s="162" t="s">
        <v>186</v>
      </c>
      <c r="K166" s="162" t="s">
        <v>151</v>
      </c>
      <c r="L166" s="162" t="s">
        <v>353</v>
      </c>
      <c r="M166" s="162" t="s">
        <v>2013</v>
      </c>
      <c r="N166" s="163" t="s">
        <v>148</v>
      </c>
      <c r="O166" s="162" t="s">
        <v>1979</v>
      </c>
      <c r="P166" s="162" t="s">
        <v>154</v>
      </c>
      <c r="Q166" s="162" t="s">
        <v>155</v>
      </c>
      <c r="R166" s="163">
        <v>2017</v>
      </c>
      <c r="S166" s="194">
        <v>15.7</v>
      </c>
      <c r="T166" s="194">
        <f>IF(ISNUMBER(S166),S166/VLOOKUP($Q166,xRates!$A$1:$AA$267,studies!$R166-xRates!$B$1+2,FALSE),S166)</f>
        <v>15.7</v>
      </c>
      <c r="V166" s="194"/>
      <c r="W166" s="163" t="s">
        <v>157</v>
      </c>
      <c r="X166" s="163" t="s">
        <v>157</v>
      </c>
      <c r="Y166" s="163" t="s">
        <v>148</v>
      </c>
      <c r="Z166" s="163" t="s">
        <v>148</v>
      </c>
      <c r="AA166" s="163" t="s">
        <v>148</v>
      </c>
      <c r="AB166" s="163" t="s">
        <v>159</v>
      </c>
      <c r="AC166" s="196">
        <v>848</v>
      </c>
      <c r="AD166" s="196">
        <f>AC166</f>
        <v>848</v>
      </c>
      <c r="AE166" s="192" t="str">
        <f t="shared" si="88"/>
        <v>No</v>
      </c>
      <c r="AF166" s="196">
        <f t="shared" si="106"/>
        <v>3687.7774610000001</v>
      </c>
      <c r="AG166" s="159" t="str">
        <f t="shared" si="89"/>
        <v>Cost-effective</v>
      </c>
      <c r="AH166" s="159" t="str">
        <f t="shared" si="90"/>
        <v>Cost-effective</v>
      </c>
      <c r="AI166" s="198">
        <f t="shared" si="91"/>
        <v>0.22994879950539401</v>
      </c>
      <c r="AJ166" s="198">
        <f t="shared" si="107"/>
        <v>1.22</v>
      </c>
      <c r="AK166" s="159" t="str">
        <f t="shared" si="92"/>
        <v>Cost-effective</v>
      </c>
      <c r="AL166" s="198">
        <f t="shared" si="108"/>
        <v>0.71</v>
      </c>
      <c r="AM166" s="162" t="str">
        <f t="shared" si="93"/>
        <v>Cost-effective</v>
      </c>
      <c r="AN166" s="198">
        <f t="shared" si="109"/>
        <v>0.58315118145938971</v>
      </c>
      <c r="AO166" s="159" t="str">
        <f t="shared" si="94"/>
        <v>Cost-effective</v>
      </c>
      <c r="AP166" s="198">
        <f t="shared" si="110"/>
        <v>0.15253723033544223</v>
      </c>
      <c r="AQ166" s="159" t="str">
        <f t="shared" si="95"/>
        <v>Not cost-effective</v>
      </c>
      <c r="AR166" s="198">
        <f t="shared" si="111"/>
        <v>0.69097596114661086</v>
      </c>
      <c r="AS166" s="159" t="str">
        <f t="shared" si="96"/>
        <v>Cost-effective</v>
      </c>
      <c r="AT166" s="198">
        <f t="shared" si="112"/>
        <v>0.27806886857478996</v>
      </c>
      <c r="AU166" s="159" t="str">
        <f t="shared" si="97"/>
        <v>Cost-effective</v>
      </c>
      <c r="AV166" s="162" t="s">
        <v>160</v>
      </c>
      <c r="AW166" s="162" t="s">
        <v>1995</v>
      </c>
      <c r="AX166" s="168">
        <f t="shared" si="98"/>
        <v>0</v>
      </c>
      <c r="AY166" s="168">
        <f t="shared" si="99"/>
        <v>0</v>
      </c>
      <c r="AZ166" s="163">
        <f t="shared" si="100"/>
        <v>0</v>
      </c>
      <c r="BA166" s="163">
        <f t="shared" si="101"/>
        <v>1</v>
      </c>
      <c r="BB166" s="163">
        <f t="shared" si="102"/>
        <v>0</v>
      </c>
      <c r="BC166" s="163">
        <f t="shared" si="103"/>
        <v>0</v>
      </c>
      <c r="BD166" s="163">
        <f t="shared" si="104"/>
        <v>1</v>
      </c>
      <c r="BE166" s="163" t="s">
        <v>157</v>
      </c>
      <c r="BF166" s="162" t="s">
        <v>1425</v>
      </c>
    </row>
    <row r="167" spans="1:58">
      <c r="A167" s="159">
        <f t="shared" si="113"/>
        <v>49</v>
      </c>
      <c r="B167" s="159">
        <f t="shared" si="114"/>
        <v>2</v>
      </c>
      <c r="C167" s="190" t="str">
        <f t="shared" si="77"/>
        <v>4902</v>
      </c>
      <c r="D167" s="159" t="s">
        <v>73</v>
      </c>
      <c r="E167" s="163">
        <v>2019</v>
      </c>
      <c r="F167" s="162" t="s">
        <v>1970</v>
      </c>
      <c r="G167" s="182" t="s">
        <v>583</v>
      </c>
      <c r="H167" s="163" t="str">
        <f t="shared" si="105"/>
        <v>LM</v>
      </c>
      <c r="I167" s="163" t="s">
        <v>157</v>
      </c>
      <c r="J167" s="162" t="s">
        <v>183</v>
      </c>
      <c r="K167" s="162" t="s">
        <v>151</v>
      </c>
      <c r="L167" s="162" t="s">
        <v>352</v>
      </c>
      <c r="M167" s="162" t="s">
        <v>2013</v>
      </c>
      <c r="N167" s="163" t="s">
        <v>148</v>
      </c>
      <c r="O167" s="162" t="s">
        <v>1979</v>
      </c>
      <c r="P167" s="162" t="s">
        <v>154</v>
      </c>
      <c r="Q167" s="162" t="s">
        <v>155</v>
      </c>
      <c r="R167" s="163">
        <v>2017</v>
      </c>
      <c r="S167" s="194">
        <v>15.7</v>
      </c>
      <c r="T167" s="194">
        <f>IF(ISNUMBER(S167),S167/VLOOKUP($Q167,xRates!$A$1:$AA$267,studies!$R167-xRates!$B$1+2,FALSE),S167)</f>
        <v>15.7</v>
      </c>
      <c r="V167" s="194"/>
      <c r="W167" s="163" t="s">
        <v>157</v>
      </c>
      <c r="X167" s="163" t="s">
        <v>157</v>
      </c>
      <c r="Y167" s="163" t="s">
        <v>148</v>
      </c>
      <c r="Z167" s="163" t="s">
        <v>148</v>
      </c>
      <c r="AA167" s="163" t="s">
        <v>148</v>
      </c>
      <c r="AB167" s="163" t="s">
        <v>159</v>
      </c>
      <c r="AC167" s="196">
        <v>1366</v>
      </c>
      <c r="AD167" s="196">
        <f>AC167</f>
        <v>1366</v>
      </c>
      <c r="AE167" s="192" t="str">
        <f t="shared" si="88"/>
        <v>No</v>
      </c>
      <c r="AF167" s="196">
        <f t="shared" si="106"/>
        <v>3687.7774610000001</v>
      </c>
      <c r="AG167" s="159" t="str">
        <f t="shared" si="89"/>
        <v>Cost-effective</v>
      </c>
      <c r="AH167" s="159" t="str">
        <f t="shared" si="90"/>
        <v>Cost-effective</v>
      </c>
      <c r="AI167" s="198">
        <f t="shared" si="91"/>
        <v>0.3704128067504342</v>
      </c>
      <c r="AJ167" s="198">
        <f t="shared" si="107"/>
        <v>1.22</v>
      </c>
      <c r="AK167" s="159" t="str">
        <f t="shared" si="92"/>
        <v>Cost-effective</v>
      </c>
      <c r="AL167" s="198">
        <f t="shared" si="108"/>
        <v>0.71</v>
      </c>
      <c r="AM167" s="162" t="str">
        <f t="shared" si="93"/>
        <v>Cost-effective</v>
      </c>
      <c r="AN167" s="198">
        <f t="shared" si="109"/>
        <v>0.58315118145938971</v>
      </c>
      <c r="AO167" s="159" t="str">
        <f t="shared" si="94"/>
        <v>Cost-effective</v>
      </c>
      <c r="AP167" s="198">
        <f t="shared" si="110"/>
        <v>0.15253723033544223</v>
      </c>
      <c r="AQ167" s="159" t="str">
        <f t="shared" si="95"/>
        <v>Not cost-effective</v>
      </c>
      <c r="AR167" s="198">
        <f t="shared" si="111"/>
        <v>0.69097596114661086</v>
      </c>
      <c r="AS167" s="159" t="str">
        <f t="shared" si="96"/>
        <v>Cost-effective</v>
      </c>
      <c r="AT167" s="198">
        <f t="shared" si="112"/>
        <v>0.27806886857478996</v>
      </c>
      <c r="AU167" s="159" t="str">
        <f t="shared" si="97"/>
        <v>Not cost-effective</v>
      </c>
      <c r="AV167" s="162" t="s">
        <v>160</v>
      </c>
      <c r="AW167" s="162" t="s">
        <v>1995</v>
      </c>
      <c r="AX167" s="168">
        <f t="shared" si="98"/>
        <v>0</v>
      </c>
      <c r="AY167" s="168">
        <f t="shared" si="99"/>
        <v>0</v>
      </c>
      <c r="AZ167" s="163">
        <f t="shared" si="100"/>
        <v>0</v>
      </c>
      <c r="BA167" s="163">
        <f t="shared" si="101"/>
        <v>1</v>
      </c>
      <c r="BB167" s="163">
        <f t="shared" si="102"/>
        <v>0</v>
      </c>
      <c r="BC167" s="163">
        <f t="shared" si="103"/>
        <v>1</v>
      </c>
      <c r="BD167" s="163">
        <f t="shared" si="104"/>
        <v>2</v>
      </c>
      <c r="BE167" s="163" t="s">
        <v>157</v>
      </c>
      <c r="BF167" s="162" t="s">
        <v>1425</v>
      </c>
    </row>
    <row r="168" spans="1:58">
      <c r="A168" s="159">
        <f t="shared" si="113"/>
        <v>49</v>
      </c>
      <c r="B168" s="159">
        <f t="shared" si="114"/>
        <v>3</v>
      </c>
      <c r="C168" s="190" t="str">
        <f t="shared" si="77"/>
        <v>4903</v>
      </c>
      <c r="D168" s="159" t="s">
        <v>73</v>
      </c>
      <c r="E168" s="163">
        <v>2019</v>
      </c>
      <c r="F168" s="162" t="s">
        <v>1970</v>
      </c>
      <c r="G168" s="182" t="s">
        <v>586</v>
      </c>
      <c r="H168" s="163" t="str">
        <f t="shared" si="105"/>
        <v>UM</v>
      </c>
      <c r="I168" s="163" t="s">
        <v>157</v>
      </c>
      <c r="J168" s="162" t="s">
        <v>186</v>
      </c>
      <c r="K168" s="162" t="s">
        <v>151</v>
      </c>
      <c r="L168" s="162" t="s">
        <v>353</v>
      </c>
      <c r="M168" s="162" t="s">
        <v>2013</v>
      </c>
      <c r="N168" s="163" t="s">
        <v>148</v>
      </c>
      <c r="O168" s="162" t="s">
        <v>1979</v>
      </c>
      <c r="P168" s="162" t="s">
        <v>154</v>
      </c>
      <c r="Q168" s="162" t="s">
        <v>155</v>
      </c>
      <c r="R168" s="163">
        <v>2017</v>
      </c>
      <c r="S168" s="194">
        <v>15.7</v>
      </c>
      <c r="T168" s="194">
        <f>IF(ISNUMBER(S168),S168/VLOOKUP($Q168,xRates!$A$1:$AA$267,studies!$R168-xRates!$B$1+2,FALSE),S168)</f>
        <v>15.7</v>
      </c>
      <c r="V168" s="194"/>
      <c r="W168" s="163" t="s">
        <v>157</v>
      </c>
      <c r="X168" s="163" t="s">
        <v>157</v>
      </c>
      <c r="Y168" s="163" t="s">
        <v>148</v>
      </c>
      <c r="Z168" s="163" t="s">
        <v>148</v>
      </c>
      <c r="AA168" s="163" t="s">
        <v>148</v>
      </c>
      <c r="AB168" s="163" t="s">
        <v>159</v>
      </c>
      <c r="AC168" s="196">
        <v>308</v>
      </c>
      <c r="AD168" s="196">
        <f>AC168</f>
        <v>308</v>
      </c>
      <c r="AE168" s="192" t="str">
        <f t="shared" si="88"/>
        <v>No</v>
      </c>
      <c r="AF168" s="196">
        <f t="shared" si="106"/>
        <v>4109.6982170000001</v>
      </c>
      <c r="AG168" s="159" t="str">
        <f t="shared" si="89"/>
        <v>Cost-effective</v>
      </c>
      <c r="AH168" s="159" t="str">
        <f t="shared" si="90"/>
        <v>Cost-effective</v>
      </c>
      <c r="AI168" s="198">
        <f t="shared" si="91"/>
        <v>7.4944675676170219E-2</v>
      </c>
      <c r="AJ168" s="198">
        <f t="shared" si="107"/>
        <v>1.54</v>
      </c>
      <c r="AK168" s="159" t="str">
        <f t="shared" si="92"/>
        <v>Cost-effective</v>
      </c>
      <c r="AL168" s="198">
        <f t="shared" si="108"/>
        <v>0.97</v>
      </c>
      <c r="AM168" s="162" t="str">
        <f t="shared" si="93"/>
        <v>Cost-effective</v>
      </c>
      <c r="AN168" s="198">
        <f t="shared" si="109"/>
        <v>0.68059652019074324</v>
      </c>
      <c r="AO168" s="159" t="str">
        <f t="shared" si="94"/>
        <v>Cost-effective</v>
      </c>
      <c r="AP168" s="198">
        <f t="shared" si="110"/>
        <v>0.18401380668795944</v>
      </c>
      <c r="AQ168" s="159" t="str">
        <f t="shared" si="95"/>
        <v>Cost-effective</v>
      </c>
      <c r="AR168" s="198">
        <f t="shared" si="111"/>
        <v>0.66747403938803063</v>
      </c>
      <c r="AS168" s="159" t="str">
        <f t="shared" si="96"/>
        <v>Cost-effective</v>
      </c>
      <c r="AT168" s="198">
        <f t="shared" si="112"/>
        <v>0.26869401810888804</v>
      </c>
      <c r="AU168" s="159" t="str">
        <f t="shared" si="97"/>
        <v>Cost-effective</v>
      </c>
      <c r="AV168" s="162" t="s">
        <v>160</v>
      </c>
      <c r="AW168" s="162" t="s">
        <v>1995</v>
      </c>
      <c r="AX168" s="168">
        <f t="shared" si="98"/>
        <v>0</v>
      </c>
      <c r="AY168" s="168">
        <f t="shared" si="99"/>
        <v>0</v>
      </c>
      <c r="AZ168" s="163">
        <f t="shared" si="100"/>
        <v>0</v>
      </c>
      <c r="BA168" s="163">
        <f t="shared" si="101"/>
        <v>0</v>
      </c>
      <c r="BB168" s="163">
        <f t="shared" si="102"/>
        <v>0</v>
      </c>
      <c r="BC168" s="163">
        <f t="shared" si="103"/>
        <v>0</v>
      </c>
      <c r="BD168" s="163">
        <f t="shared" si="104"/>
        <v>0</v>
      </c>
      <c r="BE168" s="163" t="s">
        <v>157</v>
      </c>
      <c r="BF168" s="162" t="s">
        <v>1425</v>
      </c>
    </row>
    <row r="169" spans="1:58">
      <c r="A169" s="159">
        <f t="shared" si="113"/>
        <v>49</v>
      </c>
      <c r="B169" s="159">
        <f t="shared" si="114"/>
        <v>4</v>
      </c>
      <c r="C169" s="190" t="str">
        <f t="shared" si="77"/>
        <v>4904</v>
      </c>
      <c r="D169" s="159" t="s">
        <v>73</v>
      </c>
      <c r="E169" s="163">
        <v>2019</v>
      </c>
      <c r="F169" s="162" t="s">
        <v>1970</v>
      </c>
      <c r="G169" s="182" t="s">
        <v>586</v>
      </c>
      <c r="H169" s="163" t="str">
        <f t="shared" si="105"/>
        <v>UM</v>
      </c>
      <c r="I169" s="163" t="s">
        <v>157</v>
      </c>
      <c r="J169" s="162" t="s">
        <v>183</v>
      </c>
      <c r="K169" s="162" t="s">
        <v>151</v>
      </c>
      <c r="L169" s="162" t="s">
        <v>352</v>
      </c>
      <c r="M169" s="162" t="s">
        <v>2013</v>
      </c>
      <c r="N169" s="163" t="s">
        <v>148</v>
      </c>
      <c r="O169" s="162" t="s">
        <v>1979</v>
      </c>
      <c r="P169" s="162" t="s">
        <v>154</v>
      </c>
      <c r="Q169" s="162" t="s">
        <v>155</v>
      </c>
      <c r="R169" s="163">
        <v>2017</v>
      </c>
      <c r="S169" s="194">
        <v>15.7</v>
      </c>
      <c r="T169" s="194">
        <f>IF(ISNUMBER(S169),S169/VLOOKUP($Q169,xRates!$A$1:$AA$267,studies!$R169-xRates!$B$1+2,FALSE),S169)</f>
        <v>15.7</v>
      </c>
      <c r="V169" s="194"/>
      <c r="W169" s="163" t="s">
        <v>157</v>
      </c>
      <c r="X169" s="163" t="s">
        <v>157</v>
      </c>
      <c r="Y169" s="163" t="s">
        <v>148</v>
      </c>
      <c r="Z169" s="163" t="s">
        <v>148</v>
      </c>
      <c r="AA169" s="163" t="s">
        <v>148</v>
      </c>
      <c r="AB169" s="163" t="s">
        <v>159</v>
      </c>
      <c r="AC169" s="196">
        <v>731</v>
      </c>
      <c r="AD169" s="196">
        <f>AC169</f>
        <v>731</v>
      </c>
      <c r="AE169" s="192" t="str">
        <f t="shared" si="88"/>
        <v>No</v>
      </c>
      <c r="AF169" s="196">
        <f t="shared" si="106"/>
        <v>4109.6982170000001</v>
      </c>
      <c r="AG169" s="159" t="str">
        <f t="shared" si="89"/>
        <v>Cost-effective</v>
      </c>
      <c r="AH169" s="159" t="str">
        <f t="shared" si="90"/>
        <v>Cost-effective</v>
      </c>
      <c r="AI169" s="198">
        <f t="shared" si="91"/>
        <v>0.17787194129636502</v>
      </c>
      <c r="AJ169" s="198">
        <f t="shared" si="107"/>
        <v>1.54</v>
      </c>
      <c r="AK169" s="159" t="str">
        <f t="shared" si="92"/>
        <v>Cost-effective</v>
      </c>
      <c r="AL169" s="198">
        <f t="shared" si="108"/>
        <v>0.97</v>
      </c>
      <c r="AM169" s="162" t="str">
        <f t="shared" si="93"/>
        <v>Cost-effective</v>
      </c>
      <c r="AN169" s="198">
        <f t="shared" si="109"/>
        <v>0.68059652019074324</v>
      </c>
      <c r="AO169" s="159" t="str">
        <f t="shared" si="94"/>
        <v>Cost-effective</v>
      </c>
      <c r="AP169" s="198">
        <f t="shared" si="110"/>
        <v>0.18401380668795944</v>
      </c>
      <c r="AQ169" s="159" t="str">
        <f t="shared" si="95"/>
        <v>Cost-effective</v>
      </c>
      <c r="AR169" s="198">
        <f t="shared" si="111"/>
        <v>0.66747403938803063</v>
      </c>
      <c r="AS169" s="159" t="str">
        <f t="shared" si="96"/>
        <v>Cost-effective</v>
      </c>
      <c r="AT169" s="198">
        <f t="shared" si="112"/>
        <v>0.26869401810888804</v>
      </c>
      <c r="AU169" s="159" t="str">
        <f t="shared" si="97"/>
        <v>Cost-effective</v>
      </c>
      <c r="AV169" s="162" t="s">
        <v>160</v>
      </c>
      <c r="AW169" s="162" t="s">
        <v>1995</v>
      </c>
      <c r="AX169" s="168">
        <f t="shared" si="98"/>
        <v>0</v>
      </c>
      <c r="AY169" s="168">
        <f t="shared" si="99"/>
        <v>0</v>
      </c>
      <c r="AZ169" s="163">
        <f t="shared" si="100"/>
        <v>0</v>
      </c>
      <c r="BA169" s="163">
        <f t="shared" si="101"/>
        <v>0</v>
      </c>
      <c r="BB169" s="163">
        <f t="shared" si="102"/>
        <v>0</v>
      </c>
      <c r="BC169" s="163">
        <f t="shared" si="103"/>
        <v>0</v>
      </c>
      <c r="BD169" s="163">
        <f t="shared" si="104"/>
        <v>0</v>
      </c>
      <c r="BE169" s="163" t="s">
        <v>157</v>
      </c>
      <c r="BF169" s="162" t="s">
        <v>1425</v>
      </c>
    </row>
    <row r="170" spans="1:58">
      <c r="A170" s="159">
        <f t="shared" si="113"/>
        <v>50</v>
      </c>
      <c r="B170" s="159">
        <f t="shared" si="114"/>
        <v>1</v>
      </c>
      <c r="C170" s="190" t="str">
        <f t="shared" si="77"/>
        <v>5001</v>
      </c>
      <c r="D170" s="159" t="s">
        <v>73</v>
      </c>
      <c r="E170" s="163">
        <v>2020</v>
      </c>
      <c r="F170" s="162" t="s">
        <v>1971</v>
      </c>
      <c r="G170" s="182" t="s">
        <v>421</v>
      </c>
      <c r="H170" s="163" t="str">
        <f t="shared" si="105"/>
        <v>UM</v>
      </c>
      <c r="I170" s="163" t="s">
        <v>157</v>
      </c>
      <c r="J170" s="162" t="s">
        <v>186</v>
      </c>
      <c r="K170" s="162" t="s">
        <v>183</v>
      </c>
      <c r="L170" s="162" t="s">
        <v>371</v>
      </c>
      <c r="M170" s="162" t="s">
        <v>2013</v>
      </c>
      <c r="N170" s="163" t="s">
        <v>148</v>
      </c>
      <c r="O170" s="162" t="s">
        <v>1979</v>
      </c>
      <c r="P170" s="162" t="s">
        <v>154</v>
      </c>
      <c r="Q170" s="162" t="s">
        <v>155</v>
      </c>
      <c r="R170" s="163">
        <v>2016</v>
      </c>
      <c r="S170" s="194">
        <v>14.75</v>
      </c>
      <c r="T170" s="194">
        <f>IF(ISNUMBER(S170),S170/VLOOKUP($Q170,xRates!$A$1:$AA$267,studies!$R170-xRates!$B$1+2,FALSE),S170)</f>
        <v>14.75</v>
      </c>
      <c r="U170" s="163">
        <v>12.85</v>
      </c>
      <c r="V170" s="194">
        <v>12.85</v>
      </c>
      <c r="W170" s="163" t="s">
        <v>148</v>
      </c>
      <c r="X170" s="163" t="s">
        <v>157</v>
      </c>
      <c r="Y170" s="163" t="s">
        <v>148</v>
      </c>
      <c r="Z170" s="163" t="s">
        <v>148</v>
      </c>
      <c r="AA170" s="163" t="s">
        <v>148</v>
      </c>
      <c r="AB170" s="163" t="s">
        <v>159</v>
      </c>
      <c r="AC170" s="196">
        <f>-59836109/6406</f>
        <v>-9340.6351857633472</v>
      </c>
      <c r="AD170" s="196">
        <f>AC170</f>
        <v>-9340.6351857633472</v>
      </c>
      <c r="AE170" s="192" t="str">
        <f t="shared" si="88"/>
        <v>Yes</v>
      </c>
      <c r="AF170" s="196">
        <f t="shared" si="106"/>
        <v>5870.7779570000002</v>
      </c>
      <c r="AG170" s="159" t="str">
        <f t="shared" si="89"/>
        <v>Cost-saving</v>
      </c>
      <c r="AH170" s="159" t="str">
        <f t="shared" si="90"/>
        <v>Cost-saving</v>
      </c>
      <c r="AI170" s="198">
        <f t="shared" si="91"/>
        <v>-1.5910387437879634</v>
      </c>
      <c r="AJ170" s="198">
        <f t="shared" si="107"/>
        <v>1.89</v>
      </c>
      <c r="AK170" s="159" t="str">
        <f t="shared" si="92"/>
        <v>Cost-saving</v>
      </c>
      <c r="AL170" s="198">
        <f t="shared" si="108"/>
        <v>1.17</v>
      </c>
      <c r="AM170" s="162" t="str">
        <f t="shared" si="93"/>
        <v>Cost-saving</v>
      </c>
      <c r="AN170" s="198">
        <f t="shared" si="109"/>
        <v>0.67142448878179284</v>
      </c>
      <c r="AO170" s="159" t="str">
        <f t="shared" si="94"/>
        <v>Cost-saving</v>
      </c>
      <c r="AP170" s="198">
        <f t="shared" si="110"/>
        <v>0.16670017209696561</v>
      </c>
      <c r="AQ170" s="159" t="str">
        <f t="shared" si="95"/>
        <v>Cost-saving</v>
      </c>
      <c r="AR170" s="198">
        <f t="shared" si="111"/>
        <v>1.3237396338136047</v>
      </c>
      <c r="AS170" s="159" t="str">
        <f t="shared" si="96"/>
        <v>Cost-saving</v>
      </c>
      <c r="AT170" s="198">
        <f t="shared" si="112"/>
        <v>0.54863988350299309</v>
      </c>
      <c r="AU170" s="159" t="str">
        <f t="shared" si="97"/>
        <v>Cost-saving</v>
      </c>
      <c r="AV170" s="162" t="s">
        <v>160</v>
      </c>
      <c r="AW170" s="162" t="s">
        <v>1994</v>
      </c>
      <c r="AX170" s="168" t="str">
        <f t="shared" si="98"/>
        <v/>
      </c>
      <c r="AY170" s="168" t="str">
        <f t="shared" si="99"/>
        <v/>
      </c>
      <c r="AZ170" s="163" t="str">
        <f t="shared" si="100"/>
        <v/>
      </c>
      <c r="BA170" s="163" t="str">
        <f t="shared" si="101"/>
        <v/>
      </c>
      <c r="BB170" s="163" t="str">
        <f t="shared" si="102"/>
        <v/>
      </c>
      <c r="BC170" s="163" t="str">
        <f t="shared" si="103"/>
        <v/>
      </c>
      <c r="BD170" s="163">
        <f t="shared" si="104"/>
        <v>0</v>
      </c>
      <c r="BE170" s="163" t="s">
        <v>157</v>
      </c>
      <c r="BF170" s="162" t="s">
        <v>1425</v>
      </c>
    </row>
    <row r="171" spans="1:58">
      <c r="A171" s="159">
        <f t="shared" si="113"/>
        <v>51</v>
      </c>
      <c r="B171" s="159">
        <f t="shared" si="114"/>
        <v>1</v>
      </c>
      <c r="C171" s="190" t="str">
        <f t="shared" si="77"/>
        <v>5101</v>
      </c>
      <c r="D171" s="159" t="s">
        <v>76</v>
      </c>
      <c r="E171" s="163">
        <v>2021</v>
      </c>
      <c r="F171" s="162" t="s">
        <v>1972</v>
      </c>
      <c r="G171" s="162" t="s">
        <v>346</v>
      </c>
      <c r="H171" s="163" t="str">
        <f t="shared" si="105"/>
        <v>L</v>
      </c>
      <c r="I171" s="163" t="s">
        <v>157</v>
      </c>
      <c r="J171" s="162" t="s">
        <v>186</v>
      </c>
      <c r="K171" s="162" t="s">
        <v>151</v>
      </c>
      <c r="L171" s="162" t="s">
        <v>353</v>
      </c>
      <c r="M171" s="162" t="s">
        <v>2013</v>
      </c>
      <c r="N171" s="163" t="s">
        <v>148</v>
      </c>
      <c r="O171" s="162" t="s">
        <v>1979</v>
      </c>
      <c r="P171" s="162" t="s">
        <v>154</v>
      </c>
      <c r="Q171" s="162" t="s">
        <v>155</v>
      </c>
      <c r="R171" s="163">
        <v>2017</v>
      </c>
      <c r="S171" s="194">
        <v>0.2</v>
      </c>
      <c r="T171" s="194">
        <f>IF(ISNUMBER(S171),S171/VLOOKUP($Q171,xRates!$A$1:$AA$267,studies!$R171-xRates!$B$1+2,FALSE),S171)</f>
        <v>0.2</v>
      </c>
      <c r="V171" s="194"/>
      <c r="W171" s="163" t="s">
        <v>157</v>
      </c>
      <c r="X171" s="163" t="s">
        <v>157</v>
      </c>
      <c r="Y171" s="163" t="s">
        <v>148</v>
      </c>
      <c r="Z171" s="163" t="s">
        <v>148</v>
      </c>
      <c r="AA171" s="163" t="s">
        <v>157</v>
      </c>
      <c r="AB171" s="163" t="s">
        <v>247</v>
      </c>
      <c r="AC171" s="196">
        <v>-999999</v>
      </c>
      <c r="AD171" s="196">
        <v>-999999</v>
      </c>
      <c r="AE171" s="192" t="str">
        <f t="shared" si="88"/>
        <v>Yes</v>
      </c>
      <c r="AF171" s="196">
        <f t="shared" si="106"/>
        <v>679.75507170000003</v>
      </c>
      <c r="AG171" s="159" t="str">
        <f t="shared" si="89"/>
        <v>Cost-saving</v>
      </c>
      <c r="AH171" s="159" t="str">
        <f t="shared" si="90"/>
        <v>Cost-saving</v>
      </c>
      <c r="AI171" s="198">
        <f t="shared" si="91"/>
        <v>-1471.1166442629133</v>
      </c>
      <c r="AJ171" s="198">
        <f t="shared" si="107"/>
        <v>0.69</v>
      </c>
      <c r="AK171" s="159" t="str">
        <f t="shared" si="92"/>
        <v>Cost-saving</v>
      </c>
      <c r="AL171" s="198">
        <f t="shared" si="108"/>
        <v>0.52</v>
      </c>
      <c r="AM171" s="162" t="str">
        <f t="shared" si="93"/>
        <v>Cost-saving</v>
      </c>
      <c r="AN171" s="198">
        <f t="shared" si="109"/>
        <v>0.35973480239731703</v>
      </c>
      <c r="AO171" s="159" t="str">
        <f t="shared" si="94"/>
        <v>Cost-saving</v>
      </c>
      <c r="AP171" s="198">
        <f t="shared" si="110"/>
        <v>1.7130228685586526E-2</v>
      </c>
      <c r="AQ171" s="159" t="str">
        <f t="shared" si="95"/>
        <v>Cost-saving</v>
      </c>
      <c r="AR171" s="198">
        <f t="shared" si="111"/>
        <v>0.25516617130748365</v>
      </c>
      <c r="AS171" s="159" t="str">
        <f t="shared" si="96"/>
        <v>Cost-saving</v>
      </c>
      <c r="AT171" s="198">
        <f t="shared" si="112"/>
        <v>5.0515130360364778E-2</v>
      </c>
      <c r="AU171" s="159" t="str">
        <f t="shared" si="97"/>
        <v>Cost-saving</v>
      </c>
      <c r="AW171" s="162" t="s">
        <v>1994</v>
      </c>
      <c r="AX171" s="168" t="str">
        <f t="shared" si="98"/>
        <v/>
      </c>
      <c r="AY171" s="168" t="str">
        <f t="shared" si="99"/>
        <v/>
      </c>
      <c r="AZ171" s="163" t="str">
        <f t="shared" si="100"/>
        <v/>
      </c>
      <c r="BA171" s="163" t="str">
        <f t="shared" si="101"/>
        <v/>
      </c>
      <c r="BB171" s="163" t="str">
        <f t="shared" si="102"/>
        <v/>
      </c>
      <c r="BC171" s="163" t="str">
        <f t="shared" si="103"/>
        <v/>
      </c>
      <c r="BD171" s="163">
        <f t="shared" si="104"/>
        <v>0</v>
      </c>
      <c r="BE171" s="163" t="s">
        <v>148</v>
      </c>
      <c r="BF171" s="162" t="s">
        <v>1428</v>
      </c>
    </row>
    <row r="172" spans="1:58">
      <c r="A172" s="159">
        <f t="shared" si="113"/>
        <v>51</v>
      </c>
      <c r="B172" s="159">
        <f t="shared" si="114"/>
        <v>2</v>
      </c>
      <c r="C172" s="190" t="str">
        <f t="shared" si="77"/>
        <v>5102</v>
      </c>
      <c r="D172" s="159" t="s">
        <v>76</v>
      </c>
      <c r="E172" s="163">
        <v>2021</v>
      </c>
      <c r="F172" s="162" t="s">
        <v>1972</v>
      </c>
      <c r="G172" s="162" t="s">
        <v>346</v>
      </c>
      <c r="H172" s="163" t="str">
        <f t="shared" si="105"/>
        <v>L</v>
      </c>
      <c r="I172" s="163" t="s">
        <v>157</v>
      </c>
      <c r="J172" s="162" t="s">
        <v>186</v>
      </c>
      <c r="K172" s="162" t="s">
        <v>151</v>
      </c>
      <c r="L172" s="162" t="s">
        <v>353</v>
      </c>
      <c r="M172" s="162" t="s">
        <v>2013</v>
      </c>
      <c r="N172" s="163" t="s">
        <v>148</v>
      </c>
      <c r="O172" s="162" t="s">
        <v>153</v>
      </c>
      <c r="P172" s="162" t="s">
        <v>154</v>
      </c>
      <c r="Q172" s="162" t="s">
        <v>155</v>
      </c>
      <c r="R172" s="163">
        <v>2017</v>
      </c>
      <c r="S172" s="194">
        <v>0.2</v>
      </c>
      <c r="T172" s="194">
        <f>IF(ISNUMBER(S172),S172/VLOOKUP($Q172,xRates!$A$1:$AA$267,studies!$R172-xRates!$B$1+2,FALSE),S172)</f>
        <v>0.2</v>
      </c>
      <c r="V172" s="194"/>
      <c r="W172" s="163" t="s">
        <v>157</v>
      </c>
      <c r="X172" s="163" t="s">
        <v>157</v>
      </c>
      <c r="Y172" s="163" t="s">
        <v>148</v>
      </c>
      <c r="Z172" s="163" t="s">
        <v>148</v>
      </c>
      <c r="AA172" s="163" t="s">
        <v>157</v>
      </c>
      <c r="AB172" s="163" t="s">
        <v>247</v>
      </c>
      <c r="AC172" s="196">
        <v>-999999</v>
      </c>
      <c r="AD172" s="196">
        <v>-999999</v>
      </c>
      <c r="AE172" s="192" t="str">
        <f t="shared" si="88"/>
        <v>Yes</v>
      </c>
      <c r="AF172" s="196">
        <f t="shared" si="106"/>
        <v>679.75507170000003</v>
      </c>
      <c r="AG172" s="159" t="str">
        <f t="shared" si="89"/>
        <v>Cost-saving</v>
      </c>
      <c r="AH172" s="159" t="str">
        <f t="shared" si="90"/>
        <v>Cost-saving</v>
      </c>
      <c r="AI172" s="198">
        <f t="shared" si="91"/>
        <v>-1471.1166442629133</v>
      </c>
      <c r="AJ172" s="198">
        <f t="shared" si="107"/>
        <v>0.69</v>
      </c>
      <c r="AK172" s="159" t="str">
        <f t="shared" si="92"/>
        <v>Cost-saving</v>
      </c>
      <c r="AL172" s="198">
        <f t="shared" si="108"/>
        <v>0.52</v>
      </c>
      <c r="AM172" s="162" t="str">
        <f t="shared" si="93"/>
        <v>Cost-saving</v>
      </c>
      <c r="AN172" s="198">
        <f t="shared" si="109"/>
        <v>0.35973480239731703</v>
      </c>
      <c r="AO172" s="159" t="str">
        <f t="shared" si="94"/>
        <v>Cost-saving</v>
      </c>
      <c r="AP172" s="198">
        <f t="shared" si="110"/>
        <v>1.7130228685586526E-2</v>
      </c>
      <c r="AQ172" s="159" t="str">
        <f t="shared" si="95"/>
        <v>Cost-saving</v>
      </c>
      <c r="AR172" s="198">
        <f t="shared" si="111"/>
        <v>0.25516617130748365</v>
      </c>
      <c r="AS172" s="159" t="str">
        <f t="shared" si="96"/>
        <v>Cost-saving</v>
      </c>
      <c r="AT172" s="198">
        <f t="shared" si="112"/>
        <v>5.0515130360364778E-2</v>
      </c>
      <c r="AU172" s="159" t="str">
        <f t="shared" si="97"/>
        <v>Cost-saving</v>
      </c>
      <c r="AW172" s="162" t="s">
        <v>1994</v>
      </c>
      <c r="AX172" s="168" t="str">
        <f t="shared" si="98"/>
        <v/>
      </c>
      <c r="AY172" s="168" t="str">
        <f t="shared" si="99"/>
        <v/>
      </c>
      <c r="AZ172" s="163" t="str">
        <f t="shared" si="100"/>
        <v/>
      </c>
      <c r="BA172" s="163" t="str">
        <f t="shared" si="101"/>
        <v/>
      </c>
      <c r="BB172" s="163" t="str">
        <f t="shared" si="102"/>
        <v/>
      </c>
      <c r="BC172" s="163" t="str">
        <f t="shared" si="103"/>
        <v/>
      </c>
      <c r="BD172" s="163">
        <f t="shared" si="104"/>
        <v>0</v>
      </c>
      <c r="BE172" s="163" t="s">
        <v>148</v>
      </c>
      <c r="BF172" s="162" t="s">
        <v>1428</v>
      </c>
    </row>
    <row r="173" spans="1:58">
      <c r="A173" s="159">
        <f t="shared" si="113"/>
        <v>52</v>
      </c>
      <c r="B173" s="159">
        <f t="shared" si="114"/>
        <v>1</v>
      </c>
      <c r="C173" s="190" t="str">
        <f t="shared" si="77"/>
        <v>5201</v>
      </c>
      <c r="D173" s="159" t="s">
        <v>78</v>
      </c>
      <c r="E173" s="163">
        <v>2021</v>
      </c>
      <c r="F173" s="162" t="s">
        <v>1973</v>
      </c>
      <c r="G173" s="182" t="s">
        <v>285</v>
      </c>
      <c r="H173" s="163" t="str">
        <f t="shared" si="105"/>
        <v>LM</v>
      </c>
      <c r="I173" s="163" t="s">
        <v>148</v>
      </c>
      <c r="J173" s="162" t="s">
        <v>186</v>
      </c>
      <c r="K173" s="162" t="s">
        <v>183</v>
      </c>
      <c r="L173" s="162" t="s">
        <v>371</v>
      </c>
      <c r="M173" s="162" t="s">
        <v>2013</v>
      </c>
      <c r="N173" s="163" t="s">
        <v>148</v>
      </c>
      <c r="O173" s="162" t="s">
        <v>153</v>
      </c>
      <c r="P173" s="162" t="s">
        <v>286</v>
      </c>
      <c r="Q173" s="162" t="s">
        <v>285</v>
      </c>
      <c r="R173" s="163">
        <v>2019</v>
      </c>
      <c r="S173" s="194">
        <v>704.43</v>
      </c>
      <c r="T173" s="194">
        <f>IF(ISNUMBER(S173),S173/VLOOKUP($Q173,xRates!$A$1:$AA$267,studies!$R173-xRates!$B$1+2,FALSE),S173)</f>
        <v>13.600142018057273</v>
      </c>
      <c r="U173" s="163">
        <v>624.27</v>
      </c>
      <c r="V173" s="194">
        <v>12.052525669850253</v>
      </c>
      <c r="W173" s="163" t="s">
        <v>148</v>
      </c>
      <c r="X173" s="163" t="s">
        <v>148</v>
      </c>
      <c r="Y173" s="163" t="s">
        <v>148</v>
      </c>
      <c r="Z173" s="163" t="s">
        <v>148</v>
      </c>
      <c r="AA173" s="163" t="s">
        <v>148</v>
      </c>
      <c r="AB173" s="163" t="s">
        <v>159</v>
      </c>
      <c r="AC173" s="196">
        <f>-12274777282/153349</f>
        <v>-80044.716835453772</v>
      </c>
      <c r="AD173" s="196">
        <f>AC173/xRates!Y157</f>
        <v>-1545.3906232803135</v>
      </c>
      <c r="AE173" s="192" t="str">
        <f t="shared" si="88"/>
        <v>Yes</v>
      </c>
      <c r="AF173" s="196">
        <f t="shared" si="106"/>
        <v>3485.3408439999998</v>
      </c>
      <c r="AG173" s="159" t="str">
        <f t="shared" si="89"/>
        <v>Cost-saving</v>
      </c>
      <c r="AH173" s="159" t="str">
        <f t="shared" si="90"/>
        <v>Cost-saving</v>
      </c>
      <c r="AI173" s="198">
        <f t="shared" si="91"/>
        <v>-0.44339727230428477</v>
      </c>
      <c r="AJ173" s="198">
        <f t="shared" si="107"/>
        <v>0.34</v>
      </c>
      <c r="AK173" s="159" t="str">
        <f t="shared" si="92"/>
        <v>Cost-saving</v>
      </c>
      <c r="AL173" s="198">
        <f t="shared" si="108"/>
        <v>0.23</v>
      </c>
      <c r="AM173" s="162" t="str">
        <f t="shared" si="93"/>
        <v>Cost-saving</v>
      </c>
      <c r="AN173" s="198">
        <f t="shared" si="109"/>
        <v>0.49487542715488553</v>
      </c>
      <c r="AO173" s="159" t="str">
        <f t="shared" si="94"/>
        <v>Cost-saving</v>
      </c>
      <c r="AP173" s="198">
        <f t="shared" si="110"/>
        <v>8.9154193773153201E-2</v>
      </c>
      <c r="AQ173" s="159" t="str">
        <f t="shared" si="95"/>
        <v>Cost-saving</v>
      </c>
      <c r="AR173" s="198">
        <f t="shared" si="111"/>
        <v>0.40196929445560992</v>
      </c>
      <c r="AS173" s="159" t="str">
        <f t="shared" si="96"/>
        <v>Cost-saving</v>
      </c>
      <c r="AT173" s="198">
        <f t="shared" si="112"/>
        <v>0.16182061532688366</v>
      </c>
      <c r="AU173" s="159" t="str">
        <f t="shared" si="97"/>
        <v>Cost-saving</v>
      </c>
      <c r="AV173" s="162" t="s">
        <v>597</v>
      </c>
      <c r="AW173" s="162" t="s">
        <v>1994</v>
      </c>
      <c r="AX173" s="168" t="str">
        <f t="shared" si="98"/>
        <v/>
      </c>
      <c r="AY173" s="168" t="str">
        <f t="shared" si="99"/>
        <v/>
      </c>
      <c r="AZ173" s="163" t="str">
        <f t="shared" si="100"/>
        <v/>
      </c>
      <c r="BA173" s="163" t="str">
        <f t="shared" si="101"/>
        <v/>
      </c>
      <c r="BB173" s="163" t="str">
        <f t="shared" si="102"/>
        <v/>
      </c>
      <c r="BC173" s="163" t="str">
        <f t="shared" si="103"/>
        <v/>
      </c>
      <c r="BD173" s="163">
        <f t="shared" si="104"/>
        <v>0</v>
      </c>
      <c r="BE173" s="163" t="s">
        <v>157</v>
      </c>
      <c r="BF173" s="162" t="s">
        <v>1425</v>
      </c>
    </row>
    <row r="174" spans="1:58">
      <c r="A174" s="159">
        <f t="shared" si="113"/>
        <v>52</v>
      </c>
      <c r="B174" s="159">
        <f t="shared" si="114"/>
        <v>2</v>
      </c>
      <c r="C174" s="190" t="str">
        <f t="shared" si="77"/>
        <v>5202</v>
      </c>
      <c r="D174" s="159" t="s">
        <v>78</v>
      </c>
      <c r="E174" s="163">
        <v>2021</v>
      </c>
      <c r="F174" s="162" t="s">
        <v>1973</v>
      </c>
      <c r="G174" s="182" t="s">
        <v>285</v>
      </c>
      <c r="H174" s="163" t="str">
        <f t="shared" si="105"/>
        <v>LM</v>
      </c>
      <c r="I174" s="163" t="s">
        <v>148</v>
      </c>
      <c r="J174" s="162" t="s">
        <v>186</v>
      </c>
      <c r="K174" s="162" t="s">
        <v>183</v>
      </c>
      <c r="L174" s="162" t="s">
        <v>371</v>
      </c>
      <c r="M174" s="162" t="s">
        <v>2013</v>
      </c>
      <c r="N174" s="163" t="s">
        <v>148</v>
      </c>
      <c r="O174" s="162" t="s">
        <v>153</v>
      </c>
      <c r="P174" s="162" t="s">
        <v>286</v>
      </c>
      <c r="Q174" s="162" t="s">
        <v>285</v>
      </c>
      <c r="R174" s="163">
        <v>2019</v>
      </c>
      <c r="S174" s="194">
        <v>704.43</v>
      </c>
      <c r="T174" s="194">
        <f>IF(ISNUMBER(S174),S174/VLOOKUP($Q174,xRates!$A$1:$AA$267,studies!$R174-xRates!$B$1+2,FALSE),S174)</f>
        <v>13.600142018057273</v>
      </c>
      <c r="U174" s="163">
        <v>624.27</v>
      </c>
      <c r="V174" s="194">
        <v>12.052525669850253</v>
      </c>
      <c r="W174" s="163" t="s">
        <v>148</v>
      </c>
      <c r="X174" s="163" t="s">
        <v>148</v>
      </c>
      <c r="Y174" s="163" t="s">
        <v>148</v>
      </c>
      <c r="Z174" s="163" t="s">
        <v>148</v>
      </c>
      <c r="AA174" s="163" t="s">
        <v>148</v>
      </c>
      <c r="AB174" s="163" t="s">
        <v>159</v>
      </c>
      <c r="AC174" s="196">
        <f>-7383473851/187084</f>
        <v>-39466.089302131666</v>
      </c>
      <c r="AD174" s="196">
        <f>AC174/xRates!Y157</f>
        <v>-761.95565124472489</v>
      </c>
      <c r="AE174" s="192" t="str">
        <f t="shared" si="88"/>
        <v>Yes</v>
      </c>
      <c r="AF174" s="196">
        <f t="shared" si="106"/>
        <v>3485.3408439999998</v>
      </c>
      <c r="AG174" s="159" t="str">
        <f t="shared" si="89"/>
        <v>Cost-saving</v>
      </c>
      <c r="AH174" s="159" t="str">
        <f t="shared" si="90"/>
        <v>Cost-saving</v>
      </c>
      <c r="AI174" s="198">
        <f t="shared" si="91"/>
        <v>-0.2186172559152797</v>
      </c>
      <c r="AJ174" s="198">
        <f t="shared" si="107"/>
        <v>0.34</v>
      </c>
      <c r="AK174" s="159" t="str">
        <f t="shared" si="92"/>
        <v>Cost-saving</v>
      </c>
      <c r="AL174" s="198">
        <f t="shared" si="108"/>
        <v>0.23</v>
      </c>
      <c r="AM174" s="162" t="str">
        <f t="shared" si="93"/>
        <v>Cost-saving</v>
      </c>
      <c r="AN174" s="198">
        <f t="shared" si="109"/>
        <v>0.49487542715488553</v>
      </c>
      <c r="AO174" s="159" t="str">
        <f t="shared" si="94"/>
        <v>Cost-saving</v>
      </c>
      <c r="AP174" s="198">
        <f t="shared" si="110"/>
        <v>8.9154193773153201E-2</v>
      </c>
      <c r="AQ174" s="159" t="str">
        <f t="shared" si="95"/>
        <v>Cost-saving</v>
      </c>
      <c r="AR174" s="198">
        <f t="shared" si="111"/>
        <v>0.40196929445560992</v>
      </c>
      <c r="AS174" s="159" t="str">
        <f t="shared" si="96"/>
        <v>Cost-saving</v>
      </c>
      <c r="AT174" s="198">
        <f t="shared" si="112"/>
        <v>0.16182061532688366</v>
      </c>
      <c r="AU174" s="159" t="str">
        <f t="shared" si="97"/>
        <v>Cost-saving</v>
      </c>
      <c r="AV174" s="162" t="s">
        <v>597</v>
      </c>
      <c r="AW174" s="162" t="s">
        <v>1994</v>
      </c>
      <c r="AX174" s="168" t="str">
        <f t="shared" si="98"/>
        <v/>
      </c>
      <c r="AY174" s="168" t="str">
        <f t="shared" si="99"/>
        <v/>
      </c>
      <c r="AZ174" s="163" t="str">
        <f t="shared" si="100"/>
        <v/>
      </c>
      <c r="BA174" s="163" t="str">
        <f t="shared" si="101"/>
        <v/>
      </c>
      <c r="BB174" s="163" t="str">
        <f t="shared" si="102"/>
        <v/>
      </c>
      <c r="BC174" s="163" t="str">
        <f t="shared" si="103"/>
        <v/>
      </c>
      <c r="BD174" s="163">
        <f t="shared" si="104"/>
        <v>0</v>
      </c>
      <c r="BE174" s="163" t="s">
        <v>157</v>
      </c>
      <c r="BF174" s="162" t="s">
        <v>1425</v>
      </c>
    </row>
    <row r="175" spans="1:58">
      <c r="A175" s="159">
        <f t="shared" si="113"/>
        <v>53</v>
      </c>
      <c r="B175" s="159">
        <f t="shared" si="114"/>
        <v>1</v>
      </c>
      <c r="C175" s="190" t="str">
        <f t="shared" si="77"/>
        <v>5301</v>
      </c>
      <c r="D175" s="159" t="s">
        <v>78</v>
      </c>
      <c r="E175" s="163">
        <v>2021</v>
      </c>
      <c r="F175" s="162" t="s">
        <v>1974</v>
      </c>
      <c r="G175" s="182" t="s">
        <v>330</v>
      </c>
      <c r="H175" s="163" t="str">
        <f t="shared" si="105"/>
        <v>UM</v>
      </c>
      <c r="I175" s="163" t="s">
        <v>157</v>
      </c>
      <c r="J175" s="162" t="s">
        <v>186</v>
      </c>
      <c r="K175" s="162" t="s">
        <v>183</v>
      </c>
      <c r="L175" s="162" t="s">
        <v>371</v>
      </c>
      <c r="M175" s="162" t="s">
        <v>2013</v>
      </c>
      <c r="N175" s="163" t="s">
        <v>148</v>
      </c>
      <c r="O175" s="162" t="s">
        <v>1979</v>
      </c>
      <c r="P175" s="162" t="s">
        <v>338</v>
      </c>
      <c r="Q175" s="162" t="s">
        <v>330</v>
      </c>
      <c r="R175" s="163">
        <v>2019</v>
      </c>
      <c r="S175" s="194">
        <v>58.94</v>
      </c>
      <c r="T175" s="194">
        <f>IF(ISNUMBER(S175),S175/VLOOKUP($Q175,xRates!$A$1:$AA$267,studies!$R175-xRates!$B$1+2,FALSE),S175)</f>
        <v>14.942434244500165</v>
      </c>
      <c r="U175" s="163">
        <v>57.22</v>
      </c>
      <c r="V175" s="194">
        <v>14.506380852906336</v>
      </c>
      <c r="W175" s="163" t="s">
        <v>148</v>
      </c>
      <c r="X175" s="163" t="s">
        <v>148</v>
      </c>
      <c r="Y175" s="163" t="s">
        <v>148</v>
      </c>
      <c r="Z175" s="163" t="s">
        <v>148</v>
      </c>
      <c r="AA175" s="163" t="s">
        <v>148</v>
      </c>
      <c r="AB175" s="163" t="s">
        <v>159</v>
      </c>
      <c r="AC175" s="196">
        <f>-172101081/20317</f>
        <v>-8470.7919968499282</v>
      </c>
      <c r="AD175" s="196">
        <f>AC175/xRates!Y28</f>
        <v>-2147.5102207629507</v>
      </c>
      <c r="AE175" s="192" t="str">
        <f t="shared" si="88"/>
        <v>Yes</v>
      </c>
      <c r="AF175" s="196">
        <f t="shared" si="106"/>
        <v>8897.5529659999993</v>
      </c>
      <c r="AG175" s="159" t="str">
        <f t="shared" si="89"/>
        <v>Cost-saving</v>
      </c>
      <c r="AH175" s="159" t="str">
        <f t="shared" si="90"/>
        <v>Cost-saving</v>
      </c>
      <c r="AI175" s="198">
        <f t="shared" si="91"/>
        <v>-0.24135964449654626</v>
      </c>
      <c r="AJ175" s="198">
        <f t="shared" si="107"/>
        <v>1.0900000000000001</v>
      </c>
      <c r="AK175" s="159" t="str">
        <f t="shared" si="92"/>
        <v>Cost-saving</v>
      </c>
      <c r="AL175" s="198">
        <f t="shared" si="108"/>
        <v>0.71</v>
      </c>
      <c r="AM175" s="162" t="str">
        <f t="shared" si="93"/>
        <v>Cost-saving</v>
      </c>
      <c r="AN175" s="198">
        <f t="shared" si="109"/>
        <v>0.61331405073457201</v>
      </c>
      <c r="AO175" s="159" t="str">
        <f t="shared" si="94"/>
        <v>Cost-saving</v>
      </c>
      <c r="AP175" s="198">
        <f t="shared" si="110"/>
        <v>0.19454672897770822</v>
      </c>
      <c r="AQ175" s="159" t="str">
        <f t="shared" si="95"/>
        <v>Cost-saving</v>
      </c>
      <c r="AR175" s="198">
        <f t="shared" si="111"/>
        <v>1.6739433928535268</v>
      </c>
      <c r="AS175" s="159" t="str">
        <f t="shared" si="96"/>
        <v>Cost-saving</v>
      </c>
      <c r="AT175" s="198">
        <f t="shared" si="112"/>
        <v>0.69378626051328196</v>
      </c>
      <c r="AU175" s="159" t="str">
        <f t="shared" si="97"/>
        <v>Cost-saving</v>
      </c>
      <c r="AV175" s="162" t="s">
        <v>210</v>
      </c>
      <c r="AW175" s="162" t="s">
        <v>1994</v>
      </c>
      <c r="AX175" s="168" t="str">
        <f t="shared" si="98"/>
        <v/>
      </c>
      <c r="AY175" s="168" t="str">
        <f t="shared" si="99"/>
        <v/>
      </c>
      <c r="AZ175" s="163" t="str">
        <f t="shared" si="100"/>
        <v/>
      </c>
      <c r="BA175" s="163" t="str">
        <f t="shared" si="101"/>
        <v/>
      </c>
      <c r="BB175" s="163" t="str">
        <f t="shared" si="102"/>
        <v/>
      </c>
      <c r="BC175" s="163" t="str">
        <f t="shared" si="103"/>
        <v/>
      </c>
      <c r="BD175" s="163">
        <f t="shared" si="104"/>
        <v>0</v>
      </c>
      <c r="BE175" s="163" t="s">
        <v>157</v>
      </c>
      <c r="BF175" s="162" t="s">
        <v>1425</v>
      </c>
    </row>
    <row r="176" spans="1:58">
      <c r="A176" s="159">
        <f t="shared" si="113"/>
        <v>54</v>
      </c>
      <c r="B176" s="159">
        <f t="shared" si="114"/>
        <v>1</v>
      </c>
      <c r="C176" s="190" t="str">
        <f t="shared" si="77"/>
        <v>5401</v>
      </c>
      <c r="D176" s="159" t="s">
        <v>81</v>
      </c>
      <c r="E176" s="163">
        <v>2021</v>
      </c>
      <c r="F176" s="162" t="s">
        <v>1975</v>
      </c>
      <c r="G176" s="182" t="s">
        <v>602</v>
      </c>
      <c r="H176" s="163" t="str">
        <f t="shared" si="105"/>
        <v>UM</v>
      </c>
      <c r="I176" s="163" t="s">
        <v>148</v>
      </c>
      <c r="J176" s="162" t="s">
        <v>186</v>
      </c>
      <c r="K176" s="162" t="s">
        <v>151</v>
      </c>
      <c r="L176" s="162" t="s">
        <v>353</v>
      </c>
      <c r="M176" s="162" t="s">
        <v>2013</v>
      </c>
      <c r="N176" s="163" t="s">
        <v>148</v>
      </c>
      <c r="O176" s="162" t="s">
        <v>1979</v>
      </c>
      <c r="P176" s="162" t="s">
        <v>154</v>
      </c>
      <c r="Q176" s="162" t="s">
        <v>155</v>
      </c>
      <c r="R176" s="163">
        <v>2019</v>
      </c>
      <c r="S176" s="194">
        <v>3.05</v>
      </c>
      <c r="T176" s="194">
        <f>IF(ISNUMBER(S176),S176/VLOOKUP($Q176,xRates!$A$1:$AA$267,studies!$R176-xRates!$B$1+2,FALSE),S176)</f>
        <v>3.05</v>
      </c>
      <c r="V176" s="194"/>
      <c r="W176" s="163" t="s">
        <v>157</v>
      </c>
      <c r="X176" s="163" t="s">
        <v>157</v>
      </c>
      <c r="Y176" s="163" t="s">
        <v>148</v>
      </c>
      <c r="Z176" s="163" t="s">
        <v>148</v>
      </c>
      <c r="AA176" s="163" t="s">
        <v>157</v>
      </c>
      <c r="AB176" s="163" t="s">
        <v>159</v>
      </c>
      <c r="AC176" s="196">
        <v>162</v>
      </c>
      <c r="AD176" s="196">
        <f t="shared" ref="AD176:AD196" si="115">AC176</f>
        <v>162</v>
      </c>
      <c r="AE176" s="192" t="str">
        <f t="shared" si="88"/>
        <v>No</v>
      </c>
      <c r="AF176" s="196">
        <f t="shared" si="106"/>
        <v>4135.2015309999997</v>
      </c>
      <c r="AG176" s="159" t="str">
        <f t="shared" si="89"/>
        <v>Cost-effective</v>
      </c>
      <c r="AH176" s="159" t="str">
        <f t="shared" si="90"/>
        <v>Cost-effective</v>
      </c>
      <c r="AI176" s="198">
        <f t="shared" si="91"/>
        <v>3.9175841560695153E-2</v>
      </c>
      <c r="AJ176" s="198">
        <f t="shared" si="107"/>
        <v>0.23</v>
      </c>
      <c r="AK176" s="159" t="str">
        <f t="shared" si="92"/>
        <v>Cost-effective</v>
      </c>
      <c r="AL176" s="198">
        <f t="shared" si="108"/>
        <v>0.16</v>
      </c>
      <c r="AM176" s="162" t="str">
        <f t="shared" si="93"/>
        <v>Cost-effective</v>
      </c>
      <c r="AN176" s="198">
        <f t="shared" si="109"/>
        <v>0.49283550177804297</v>
      </c>
      <c r="AO176" s="159" t="str">
        <f t="shared" si="94"/>
        <v>Cost-effective</v>
      </c>
      <c r="AP176" s="198">
        <f t="shared" si="110"/>
        <v>0.13024544055948281</v>
      </c>
      <c r="AQ176" s="159" t="str">
        <f t="shared" si="95"/>
        <v>Cost-effective</v>
      </c>
      <c r="AR176" s="198">
        <f t="shared" si="111"/>
        <v>0.47156105582318236</v>
      </c>
      <c r="AS176" s="159" t="str">
        <f t="shared" si="96"/>
        <v>Cost-effective</v>
      </c>
      <c r="AT176" s="198">
        <f t="shared" si="112"/>
        <v>0.19539555543852891</v>
      </c>
      <c r="AU176" s="159" t="str">
        <f t="shared" si="97"/>
        <v>Cost-effective</v>
      </c>
      <c r="AV176" s="162" t="s">
        <v>160</v>
      </c>
      <c r="AW176" s="162" t="s">
        <v>1995</v>
      </c>
      <c r="AX176" s="168">
        <f t="shared" si="98"/>
        <v>0</v>
      </c>
      <c r="AY176" s="168">
        <f t="shared" si="99"/>
        <v>0</v>
      </c>
      <c r="AZ176" s="163">
        <f t="shared" si="100"/>
        <v>0</v>
      </c>
      <c r="BA176" s="163">
        <f t="shared" si="101"/>
        <v>0</v>
      </c>
      <c r="BB176" s="163">
        <f t="shared" si="102"/>
        <v>0</v>
      </c>
      <c r="BC176" s="163">
        <f t="shared" si="103"/>
        <v>0</v>
      </c>
      <c r="BD176" s="163">
        <f t="shared" si="104"/>
        <v>0</v>
      </c>
      <c r="BE176" s="163" t="s">
        <v>148</v>
      </c>
      <c r="BF176" s="162" t="s">
        <v>1426</v>
      </c>
    </row>
    <row r="177" spans="1:58">
      <c r="A177" s="159">
        <f t="shared" si="113"/>
        <v>54</v>
      </c>
      <c r="B177" s="159">
        <f t="shared" si="114"/>
        <v>2</v>
      </c>
      <c r="C177" s="190" t="str">
        <f t="shared" si="77"/>
        <v>5402</v>
      </c>
      <c r="D177" s="159" t="s">
        <v>81</v>
      </c>
      <c r="E177" s="163">
        <v>2021</v>
      </c>
      <c r="F177" s="162" t="s">
        <v>1975</v>
      </c>
      <c r="G177" s="182" t="s">
        <v>602</v>
      </c>
      <c r="H177" s="163" t="str">
        <f t="shared" si="105"/>
        <v>UM</v>
      </c>
      <c r="I177" s="163" t="s">
        <v>148</v>
      </c>
      <c r="J177" s="162" t="s">
        <v>186</v>
      </c>
      <c r="K177" s="162" t="s">
        <v>151</v>
      </c>
      <c r="L177" s="162" t="s">
        <v>353</v>
      </c>
      <c r="M177" s="162" t="s">
        <v>2013</v>
      </c>
      <c r="N177" s="163" t="s">
        <v>148</v>
      </c>
      <c r="O177" s="162" t="s">
        <v>153</v>
      </c>
      <c r="P177" s="162" t="s">
        <v>154</v>
      </c>
      <c r="Q177" s="162" t="s">
        <v>155</v>
      </c>
      <c r="R177" s="163">
        <v>2019</v>
      </c>
      <c r="S177" s="194">
        <v>3.05</v>
      </c>
      <c r="T177" s="194">
        <f>IF(ISNUMBER(S177),S177/VLOOKUP($Q177,xRates!$A$1:$AA$267,studies!$R177-xRates!$B$1+2,FALSE),S177)</f>
        <v>3.05</v>
      </c>
      <c r="V177" s="194"/>
      <c r="W177" s="163" t="s">
        <v>157</v>
      </c>
      <c r="X177" s="163" t="s">
        <v>157</v>
      </c>
      <c r="Y177" s="163" t="s">
        <v>148</v>
      </c>
      <c r="Z177" s="163" t="s">
        <v>148</v>
      </c>
      <c r="AA177" s="163" t="s">
        <v>157</v>
      </c>
      <c r="AB177" s="163" t="s">
        <v>159</v>
      </c>
      <c r="AC177" s="196">
        <v>254</v>
      </c>
      <c r="AD177" s="196">
        <f t="shared" si="115"/>
        <v>254</v>
      </c>
      <c r="AE177" s="192" t="str">
        <f t="shared" si="88"/>
        <v>No</v>
      </c>
      <c r="AF177" s="196">
        <f t="shared" si="106"/>
        <v>4135.2015309999997</v>
      </c>
      <c r="AG177" s="159" t="str">
        <f t="shared" si="89"/>
        <v>Cost-effective</v>
      </c>
      <c r="AH177" s="159" t="str">
        <f t="shared" si="90"/>
        <v>Cost-effective</v>
      </c>
      <c r="AI177" s="198">
        <f t="shared" si="91"/>
        <v>6.1423850348250417E-2</v>
      </c>
      <c r="AJ177" s="198">
        <f t="shared" si="107"/>
        <v>0.23</v>
      </c>
      <c r="AK177" s="159" t="str">
        <f t="shared" si="92"/>
        <v>Cost-effective</v>
      </c>
      <c r="AL177" s="198">
        <f t="shared" si="108"/>
        <v>0.16</v>
      </c>
      <c r="AM177" s="162" t="str">
        <f t="shared" si="93"/>
        <v>Cost-effective</v>
      </c>
      <c r="AN177" s="198">
        <f t="shared" si="109"/>
        <v>0.49283550177804297</v>
      </c>
      <c r="AO177" s="159" t="str">
        <f t="shared" si="94"/>
        <v>Cost-effective</v>
      </c>
      <c r="AP177" s="198">
        <f t="shared" si="110"/>
        <v>0.13024544055948281</v>
      </c>
      <c r="AQ177" s="159" t="str">
        <f t="shared" si="95"/>
        <v>Cost-effective</v>
      </c>
      <c r="AR177" s="198">
        <f t="shared" si="111"/>
        <v>0.47156105582318236</v>
      </c>
      <c r="AS177" s="159" t="str">
        <f t="shared" si="96"/>
        <v>Cost-effective</v>
      </c>
      <c r="AT177" s="198">
        <f t="shared" si="112"/>
        <v>0.19539555543852891</v>
      </c>
      <c r="AU177" s="159" t="str">
        <f t="shared" si="97"/>
        <v>Cost-effective</v>
      </c>
      <c r="AV177" s="162" t="s">
        <v>160</v>
      </c>
      <c r="AW177" s="162" t="s">
        <v>1995</v>
      </c>
      <c r="AX177" s="168">
        <f t="shared" si="98"/>
        <v>0</v>
      </c>
      <c r="AY177" s="168">
        <f t="shared" si="99"/>
        <v>0</v>
      </c>
      <c r="AZ177" s="163">
        <f t="shared" si="100"/>
        <v>0</v>
      </c>
      <c r="BA177" s="163">
        <f t="shared" si="101"/>
        <v>0</v>
      </c>
      <c r="BB177" s="163">
        <f t="shared" si="102"/>
        <v>0</v>
      </c>
      <c r="BC177" s="163">
        <f t="shared" si="103"/>
        <v>0</v>
      </c>
      <c r="BD177" s="163">
        <f t="shared" si="104"/>
        <v>0</v>
      </c>
      <c r="BE177" s="163" t="s">
        <v>148</v>
      </c>
      <c r="BF177" s="162" t="s">
        <v>1426</v>
      </c>
    </row>
    <row r="178" spans="1:58">
      <c r="A178" s="159">
        <f t="shared" si="113"/>
        <v>54</v>
      </c>
      <c r="B178" s="159">
        <f t="shared" si="114"/>
        <v>3</v>
      </c>
      <c r="C178" s="190" t="str">
        <f t="shared" si="77"/>
        <v>5403</v>
      </c>
      <c r="D178" s="159" t="s">
        <v>81</v>
      </c>
      <c r="E178" s="163">
        <v>2021</v>
      </c>
      <c r="F178" s="162" t="s">
        <v>1975</v>
      </c>
      <c r="G178" s="182" t="s">
        <v>602</v>
      </c>
      <c r="H178" s="163" t="str">
        <f t="shared" si="105"/>
        <v>UM</v>
      </c>
      <c r="I178" s="163" t="s">
        <v>148</v>
      </c>
      <c r="J178" s="162" t="s">
        <v>186</v>
      </c>
      <c r="K178" s="162" t="s">
        <v>151</v>
      </c>
      <c r="L178" s="162" t="s">
        <v>353</v>
      </c>
      <c r="M178" s="162" t="s">
        <v>2013</v>
      </c>
      <c r="N178" s="163" t="s">
        <v>148</v>
      </c>
      <c r="O178" s="162" t="s">
        <v>1979</v>
      </c>
      <c r="P178" s="162" t="s">
        <v>154</v>
      </c>
      <c r="Q178" s="162" t="s">
        <v>155</v>
      </c>
      <c r="R178" s="163">
        <v>2019</v>
      </c>
      <c r="S178" s="194">
        <v>3.05</v>
      </c>
      <c r="T178" s="194">
        <f>IF(ISNUMBER(S178),S178/VLOOKUP($Q178,xRates!$A$1:$AA$267,studies!$R178-xRates!$B$1+2,FALSE),S178)</f>
        <v>3.05</v>
      </c>
      <c r="V178" s="194"/>
      <c r="W178" s="163" t="s">
        <v>157</v>
      </c>
      <c r="X178" s="163" t="s">
        <v>157</v>
      </c>
      <c r="Y178" s="163" t="s">
        <v>148</v>
      </c>
      <c r="Z178" s="163" t="s">
        <v>148</v>
      </c>
      <c r="AA178" s="163" t="s">
        <v>157</v>
      </c>
      <c r="AB178" s="163" t="s">
        <v>159</v>
      </c>
      <c r="AC178" s="196">
        <v>322</v>
      </c>
      <c r="AD178" s="196">
        <f t="shared" si="115"/>
        <v>322</v>
      </c>
      <c r="AE178" s="192" t="str">
        <f t="shared" si="88"/>
        <v>No</v>
      </c>
      <c r="AF178" s="196">
        <f t="shared" si="106"/>
        <v>4135.2015309999997</v>
      </c>
      <c r="AG178" s="159" t="str">
        <f t="shared" si="89"/>
        <v>Cost-effective</v>
      </c>
      <c r="AH178" s="159" t="str">
        <f t="shared" si="90"/>
        <v>Cost-effective</v>
      </c>
      <c r="AI178" s="198">
        <f t="shared" si="91"/>
        <v>7.786803075644344E-2</v>
      </c>
      <c r="AJ178" s="198">
        <f t="shared" si="107"/>
        <v>0.23</v>
      </c>
      <c r="AK178" s="159" t="str">
        <f t="shared" si="92"/>
        <v>Cost-effective</v>
      </c>
      <c r="AL178" s="198">
        <f t="shared" si="108"/>
        <v>0.16</v>
      </c>
      <c r="AM178" s="162" t="str">
        <f t="shared" si="93"/>
        <v>Cost-effective</v>
      </c>
      <c r="AN178" s="198">
        <f t="shared" si="109"/>
        <v>0.49283550177804297</v>
      </c>
      <c r="AO178" s="159" t="str">
        <f t="shared" si="94"/>
        <v>Cost-effective</v>
      </c>
      <c r="AP178" s="198">
        <f t="shared" si="110"/>
        <v>0.13024544055948281</v>
      </c>
      <c r="AQ178" s="159" t="str">
        <f t="shared" si="95"/>
        <v>Cost-effective</v>
      </c>
      <c r="AR178" s="198">
        <f t="shared" si="111"/>
        <v>0.47156105582318236</v>
      </c>
      <c r="AS178" s="159" t="str">
        <f t="shared" si="96"/>
        <v>Cost-effective</v>
      </c>
      <c r="AT178" s="198">
        <f t="shared" si="112"/>
        <v>0.19539555543852891</v>
      </c>
      <c r="AU178" s="159" t="str">
        <f t="shared" si="97"/>
        <v>Cost-effective</v>
      </c>
      <c r="AV178" s="162" t="s">
        <v>160</v>
      </c>
      <c r="AW178" s="162" t="s">
        <v>1995</v>
      </c>
      <c r="AX178" s="168">
        <f t="shared" si="98"/>
        <v>0</v>
      </c>
      <c r="AY178" s="168">
        <f t="shared" si="99"/>
        <v>0</v>
      </c>
      <c r="AZ178" s="163">
        <f t="shared" si="100"/>
        <v>0</v>
      </c>
      <c r="BA178" s="163">
        <f t="shared" si="101"/>
        <v>0</v>
      </c>
      <c r="BB178" s="163">
        <f t="shared" si="102"/>
        <v>0</v>
      </c>
      <c r="BC178" s="163">
        <f t="shared" si="103"/>
        <v>0</v>
      </c>
      <c r="BD178" s="163">
        <f t="shared" si="104"/>
        <v>0</v>
      </c>
      <c r="BE178" s="163" t="s">
        <v>148</v>
      </c>
      <c r="BF178" s="162" t="s">
        <v>1426</v>
      </c>
    </row>
    <row r="179" spans="1:58">
      <c r="A179" s="159">
        <f t="shared" si="113"/>
        <v>54</v>
      </c>
      <c r="B179" s="159">
        <f t="shared" si="114"/>
        <v>4</v>
      </c>
      <c r="C179" s="190" t="str">
        <f t="shared" si="77"/>
        <v>5404</v>
      </c>
      <c r="D179" s="159" t="s">
        <v>81</v>
      </c>
      <c r="E179" s="163">
        <v>2021</v>
      </c>
      <c r="F179" s="162" t="s">
        <v>1975</v>
      </c>
      <c r="G179" s="182" t="s">
        <v>602</v>
      </c>
      <c r="H179" s="163" t="str">
        <f t="shared" si="105"/>
        <v>UM</v>
      </c>
      <c r="I179" s="163" t="s">
        <v>148</v>
      </c>
      <c r="J179" s="162" t="s">
        <v>186</v>
      </c>
      <c r="K179" s="162" t="s">
        <v>151</v>
      </c>
      <c r="L179" s="162" t="s">
        <v>353</v>
      </c>
      <c r="M179" s="162" t="s">
        <v>2013</v>
      </c>
      <c r="N179" s="163" t="s">
        <v>148</v>
      </c>
      <c r="O179" s="162" t="s">
        <v>604</v>
      </c>
      <c r="P179" s="162" t="s">
        <v>154</v>
      </c>
      <c r="Q179" s="162" t="s">
        <v>155</v>
      </c>
      <c r="R179" s="163">
        <v>2019</v>
      </c>
      <c r="S179" s="194">
        <v>18.899999999999999</v>
      </c>
      <c r="T179" s="194">
        <f>IF(ISNUMBER(S179),S179/VLOOKUP($Q179,xRates!$A$1:$AA$267,studies!$R179-xRates!$B$1+2,FALSE),S179)</f>
        <v>18.899999999999999</v>
      </c>
      <c r="V179" s="194"/>
      <c r="W179" s="163" t="s">
        <v>157</v>
      </c>
      <c r="X179" s="163" t="s">
        <v>157</v>
      </c>
      <c r="Y179" s="163" t="s">
        <v>148</v>
      </c>
      <c r="Z179" s="163" t="s">
        <v>148</v>
      </c>
      <c r="AA179" s="163" t="s">
        <v>157</v>
      </c>
      <c r="AB179" s="163" t="s">
        <v>159</v>
      </c>
      <c r="AC179" s="196">
        <v>447</v>
      </c>
      <c r="AD179" s="196">
        <f t="shared" si="115"/>
        <v>447</v>
      </c>
      <c r="AE179" s="192" t="str">
        <f t="shared" si="88"/>
        <v>No</v>
      </c>
      <c r="AF179" s="196">
        <f t="shared" si="106"/>
        <v>4135.2015309999997</v>
      </c>
      <c r="AG179" s="159" t="str">
        <f t="shared" si="89"/>
        <v>Cost-effective</v>
      </c>
      <c r="AH179" s="159" t="str">
        <f t="shared" si="90"/>
        <v>Cost-effective</v>
      </c>
      <c r="AI179" s="198">
        <f t="shared" si="91"/>
        <v>0.1080963035656218</v>
      </c>
      <c r="AJ179" s="198">
        <f t="shared" si="107"/>
        <v>0.23</v>
      </c>
      <c r="AK179" s="159" t="str">
        <f t="shared" si="92"/>
        <v>Cost-effective</v>
      </c>
      <c r="AL179" s="198">
        <f t="shared" si="108"/>
        <v>0.16</v>
      </c>
      <c r="AM179" s="162" t="str">
        <f t="shared" si="93"/>
        <v>Cost-effective</v>
      </c>
      <c r="AN179" s="198">
        <f t="shared" si="109"/>
        <v>0.49283550177804297</v>
      </c>
      <c r="AO179" s="159" t="str">
        <f t="shared" si="94"/>
        <v>Cost-effective</v>
      </c>
      <c r="AP179" s="198">
        <f t="shared" si="110"/>
        <v>0.13024544055948281</v>
      </c>
      <c r="AQ179" s="159" t="str">
        <f t="shared" si="95"/>
        <v>Cost-effective</v>
      </c>
      <c r="AR179" s="198">
        <f t="shared" si="111"/>
        <v>0.47156105582318236</v>
      </c>
      <c r="AS179" s="159" t="str">
        <f t="shared" si="96"/>
        <v>Cost-effective</v>
      </c>
      <c r="AT179" s="198">
        <f t="shared" si="112"/>
        <v>0.19539555543852891</v>
      </c>
      <c r="AU179" s="159" t="str">
        <f t="shared" si="97"/>
        <v>Cost-effective</v>
      </c>
      <c r="AV179" s="162" t="s">
        <v>160</v>
      </c>
      <c r="AW179" s="162" t="s">
        <v>1995</v>
      </c>
      <c r="AX179" s="168">
        <f t="shared" si="98"/>
        <v>0</v>
      </c>
      <c r="AY179" s="168">
        <f t="shared" si="99"/>
        <v>0</v>
      </c>
      <c r="AZ179" s="163">
        <f t="shared" si="100"/>
        <v>0</v>
      </c>
      <c r="BA179" s="163">
        <f t="shared" si="101"/>
        <v>0</v>
      </c>
      <c r="BB179" s="163">
        <f t="shared" si="102"/>
        <v>0</v>
      </c>
      <c r="BC179" s="163">
        <f t="shared" si="103"/>
        <v>0</v>
      </c>
      <c r="BD179" s="163">
        <f t="shared" si="104"/>
        <v>0</v>
      </c>
      <c r="BE179" s="163" t="s">
        <v>148</v>
      </c>
      <c r="BF179" s="162" t="s">
        <v>1426</v>
      </c>
    </row>
    <row r="180" spans="1:58">
      <c r="A180" s="159">
        <f t="shared" si="113"/>
        <v>54</v>
      </c>
      <c r="B180" s="159">
        <f t="shared" si="114"/>
        <v>5</v>
      </c>
      <c r="C180" s="190" t="str">
        <f t="shared" si="77"/>
        <v>5405</v>
      </c>
      <c r="D180" s="159" t="s">
        <v>81</v>
      </c>
      <c r="E180" s="163">
        <v>2021</v>
      </c>
      <c r="F180" s="162" t="s">
        <v>1975</v>
      </c>
      <c r="G180" s="182" t="s">
        <v>602</v>
      </c>
      <c r="H180" s="163" t="str">
        <f t="shared" si="105"/>
        <v>UM</v>
      </c>
      <c r="I180" s="163" t="s">
        <v>148</v>
      </c>
      <c r="J180" s="162" t="s">
        <v>186</v>
      </c>
      <c r="K180" s="162" t="s">
        <v>151</v>
      </c>
      <c r="L180" s="162" t="s">
        <v>353</v>
      </c>
      <c r="M180" s="162" t="s">
        <v>2013</v>
      </c>
      <c r="N180" s="163" t="s">
        <v>148</v>
      </c>
      <c r="O180" s="162" t="s">
        <v>153</v>
      </c>
      <c r="P180" s="162" t="s">
        <v>154</v>
      </c>
      <c r="Q180" s="162" t="s">
        <v>155</v>
      </c>
      <c r="R180" s="163">
        <v>2019</v>
      </c>
      <c r="S180" s="194">
        <v>18.899999999999999</v>
      </c>
      <c r="T180" s="194">
        <f>IF(ISNUMBER(S180),S180/VLOOKUP($Q180,xRates!$A$1:$AA$267,studies!$R180-xRates!$B$1+2,FALSE),S180)</f>
        <v>18.899999999999999</v>
      </c>
      <c r="V180" s="194"/>
      <c r="W180" s="163" t="s">
        <v>157</v>
      </c>
      <c r="X180" s="163" t="s">
        <v>157</v>
      </c>
      <c r="Y180" s="163" t="s">
        <v>148</v>
      </c>
      <c r="Z180" s="163" t="s">
        <v>148</v>
      </c>
      <c r="AA180" s="163" t="s">
        <v>157</v>
      </c>
      <c r="AB180" s="163" t="s">
        <v>159</v>
      </c>
      <c r="AC180" s="196">
        <v>539</v>
      </c>
      <c r="AD180" s="196">
        <f t="shared" si="115"/>
        <v>539</v>
      </c>
      <c r="AE180" s="192" t="str">
        <f t="shared" si="88"/>
        <v>No</v>
      </c>
      <c r="AF180" s="196">
        <f t="shared" si="106"/>
        <v>4135.2015309999997</v>
      </c>
      <c r="AG180" s="159" t="str">
        <f t="shared" si="89"/>
        <v>Cost-effective</v>
      </c>
      <c r="AH180" s="159" t="str">
        <f t="shared" si="90"/>
        <v>Cost-effective</v>
      </c>
      <c r="AI180" s="198">
        <f t="shared" si="91"/>
        <v>0.13034431235317706</v>
      </c>
      <c r="AJ180" s="198">
        <f t="shared" si="107"/>
        <v>0.23</v>
      </c>
      <c r="AK180" s="159" t="str">
        <f t="shared" si="92"/>
        <v>Cost-effective</v>
      </c>
      <c r="AL180" s="198">
        <f t="shared" si="108"/>
        <v>0.16</v>
      </c>
      <c r="AM180" s="162" t="str">
        <f t="shared" si="93"/>
        <v>Cost-effective</v>
      </c>
      <c r="AN180" s="198">
        <f t="shared" si="109"/>
        <v>0.49283550177804297</v>
      </c>
      <c r="AO180" s="159" t="str">
        <f t="shared" si="94"/>
        <v>Cost-effective</v>
      </c>
      <c r="AP180" s="198">
        <f t="shared" si="110"/>
        <v>0.13024544055948281</v>
      </c>
      <c r="AQ180" s="159" t="str">
        <f t="shared" si="95"/>
        <v>Not cost-effective</v>
      </c>
      <c r="AR180" s="198">
        <f t="shared" si="111"/>
        <v>0.47156105582318236</v>
      </c>
      <c r="AS180" s="159" t="str">
        <f t="shared" si="96"/>
        <v>Cost-effective</v>
      </c>
      <c r="AT180" s="198">
        <f t="shared" si="112"/>
        <v>0.19539555543852891</v>
      </c>
      <c r="AU180" s="159" t="str">
        <f t="shared" si="97"/>
        <v>Cost-effective</v>
      </c>
      <c r="AV180" s="162" t="s">
        <v>160</v>
      </c>
      <c r="AW180" s="162" t="s">
        <v>1995</v>
      </c>
      <c r="AX180" s="168">
        <f t="shared" si="98"/>
        <v>0</v>
      </c>
      <c r="AY180" s="168">
        <f t="shared" si="99"/>
        <v>0</v>
      </c>
      <c r="AZ180" s="163">
        <f t="shared" si="100"/>
        <v>0</v>
      </c>
      <c r="BA180" s="163">
        <f t="shared" si="101"/>
        <v>1</v>
      </c>
      <c r="BB180" s="163">
        <f t="shared" si="102"/>
        <v>0</v>
      </c>
      <c r="BC180" s="163">
        <f t="shared" si="103"/>
        <v>0</v>
      </c>
      <c r="BD180" s="163">
        <f t="shared" si="104"/>
        <v>1</v>
      </c>
      <c r="BE180" s="163" t="s">
        <v>148</v>
      </c>
      <c r="BF180" s="162" t="s">
        <v>1426</v>
      </c>
    </row>
    <row r="181" spans="1:58">
      <c r="A181" s="159">
        <f t="shared" si="113"/>
        <v>54</v>
      </c>
      <c r="B181" s="159">
        <f t="shared" si="114"/>
        <v>6</v>
      </c>
      <c r="C181" s="190" t="str">
        <f t="shared" si="77"/>
        <v>5406</v>
      </c>
      <c r="D181" s="159" t="s">
        <v>81</v>
      </c>
      <c r="E181" s="163">
        <v>2021</v>
      </c>
      <c r="F181" s="162" t="s">
        <v>1975</v>
      </c>
      <c r="G181" s="182" t="s">
        <v>602</v>
      </c>
      <c r="H181" s="163" t="str">
        <f t="shared" si="105"/>
        <v>UM</v>
      </c>
      <c r="I181" s="163" t="s">
        <v>148</v>
      </c>
      <c r="J181" s="162" t="s">
        <v>186</v>
      </c>
      <c r="K181" s="162" t="s">
        <v>151</v>
      </c>
      <c r="L181" s="162" t="s">
        <v>353</v>
      </c>
      <c r="M181" s="162" t="s">
        <v>2013</v>
      </c>
      <c r="N181" s="163" t="s">
        <v>148</v>
      </c>
      <c r="O181" s="162" t="s">
        <v>1979</v>
      </c>
      <c r="P181" s="162" t="s">
        <v>154</v>
      </c>
      <c r="Q181" s="162" t="s">
        <v>155</v>
      </c>
      <c r="R181" s="163">
        <v>2019</v>
      </c>
      <c r="S181" s="194">
        <v>18.899999999999999</v>
      </c>
      <c r="T181" s="194">
        <f>IF(ISNUMBER(S181),S181/VLOOKUP($Q181,xRates!$A$1:$AA$267,studies!$R181-xRates!$B$1+2,FALSE),S181)</f>
        <v>18.899999999999999</v>
      </c>
      <c r="V181" s="194"/>
      <c r="W181" s="163" t="s">
        <v>157</v>
      </c>
      <c r="X181" s="163" t="s">
        <v>157</v>
      </c>
      <c r="Y181" s="163" t="s">
        <v>148</v>
      </c>
      <c r="Z181" s="163" t="s">
        <v>148</v>
      </c>
      <c r="AA181" s="163" t="s">
        <v>157</v>
      </c>
      <c r="AB181" s="163" t="s">
        <v>159</v>
      </c>
      <c r="AC181" s="196">
        <v>607</v>
      </c>
      <c r="AD181" s="196">
        <f t="shared" si="115"/>
        <v>607</v>
      </c>
      <c r="AE181" s="192" t="str">
        <f t="shared" si="88"/>
        <v>No</v>
      </c>
      <c r="AF181" s="196">
        <f t="shared" si="106"/>
        <v>4135.2015309999997</v>
      </c>
      <c r="AG181" s="159" t="str">
        <f t="shared" si="89"/>
        <v>Cost-effective</v>
      </c>
      <c r="AH181" s="159" t="str">
        <f t="shared" si="90"/>
        <v>Cost-effective</v>
      </c>
      <c r="AI181" s="198">
        <f t="shared" si="91"/>
        <v>0.1467884927613701</v>
      </c>
      <c r="AJ181" s="198">
        <f t="shared" si="107"/>
        <v>0.23</v>
      </c>
      <c r="AK181" s="159" t="str">
        <f t="shared" si="92"/>
        <v>Cost-effective</v>
      </c>
      <c r="AL181" s="198">
        <f t="shared" si="108"/>
        <v>0.16</v>
      </c>
      <c r="AM181" s="162" t="str">
        <f t="shared" si="93"/>
        <v>Cost-effective</v>
      </c>
      <c r="AN181" s="198">
        <f t="shared" si="109"/>
        <v>0.49283550177804297</v>
      </c>
      <c r="AO181" s="159" t="str">
        <f t="shared" si="94"/>
        <v>Cost-effective</v>
      </c>
      <c r="AP181" s="198">
        <f t="shared" si="110"/>
        <v>0.13024544055948281</v>
      </c>
      <c r="AQ181" s="159" t="str">
        <f t="shared" si="95"/>
        <v>Not cost-effective</v>
      </c>
      <c r="AR181" s="198">
        <f t="shared" si="111"/>
        <v>0.47156105582318236</v>
      </c>
      <c r="AS181" s="159" t="str">
        <f t="shared" si="96"/>
        <v>Cost-effective</v>
      </c>
      <c r="AT181" s="198">
        <f t="shared" si="112"/>
        <v>0.19539555543852891</v>
      </c>
      <c r="AU181" s="159" t="str">
        <f t="shared" si="97"/>
        <v>Cost-effective</v>
      </c>
      <c r="AV181" s="162" t="s">
        <v>160</v>
      </c>
      <c r="AW181" s="162" t="s">
        <v>1995</v>
      </c>
      <c r="AX181" s="168">
        <f t="shared" si="98"/>
        <v>0</v>
      </c>
      <c r="AY181" s="168">
        <f t="shared" si="99"/>
        <v>0</v>
      </c>
      <c r="AZ181" s="163">
        <f t="shared" si="100"/>
        <v>0</v>
      </c>
      <c r="BA181" s="163">
        <f t="shared" si="101"/>
        <v>1</v>
      </c>
      <c r="BB181" s="163">
        <f t="shared" si="102"/>
        <v>0</v>
      </c>
      <c r="BC181" s="163">
        <f t="shared" si="103"/>
        <v>0</v>
      </c>
      <c r="BD181" s="163">
        <f t="shared" si="104"/>
        <v>1</v>
      </c>
      <c r="BE181" s="163" t="s">
        <v>148</v>
      </c>
      <c r="BF181" s="162" t="s">
        <v>1426</v>
      </c>
    </row>
    <row r="182" spans="1:58">
      <c r="A182" s="159">
        <f t="shared" si="113"/>
        <v>54</v>
      </c>
      <c r="B182" s="159">
        <f t="shared" si="114"/>
        <v>7</v>
      </c>
      <c r="C182" s="190" t="str">
        <f t="shared" si="77"/>
        <v>5407</v>
      </c>
      <c r="D182" s="159" t="s">
        <v>81</v>
      </c>
      <c r="E182" s="163">
        <v>2021</v>
      </c>
      <c r="F182" s="162" t="s">
        <v>1975</v>
      </c>
      <c r="G182" s="182" t="s">
        <v>602</v>
      </c>
      <c r="H182" s="163" t="str">
        <f t="shared" si="105"/>
        <v>UM</v>
      </c>
      <c r="I182" s="163" t="s">
        <v>148</v>
      </c>
      <c r="J182" s="162" t="s">
        <v>183</v>
      </c>
      <c r="K182" s="162" t="s">
        <v>151</v>
      </c>
      <c r="L182" s="162" t="s">
        <v>352</v>
      </c>
      <c r="M182" s="162" t="s">
        <v>2013</v>
      </c>
      <c r="N182" s="163" t="s">
        <v>148</v>
      </c>
      <c r="O182" s="162" t="s">
        <v>1979</v>
      </c>
      <c r="P182" s="162" t="s">
        <v>154</v>
      </c>
      <c r="Q182" s="162" t="s">
        <v>155</v>
      </c>
      <c r="R182" s="163">
        <v>2019</v>
      </c>
      <c r="S182" s="194">
        <v>3.3</v>
      </c>
      <c r="T182" s="194">
        <f>IF(ISNUMBER(S182),S182/VLOOKUP($Q182,xRates!$A$1:$AA$267,studies!$R182-xRates!$B$1+2,FALSE),S182)</f>
        <v>3.3</v>
      </c>
      <c r="V182" s="194"/>
      <c r="W182" s="163" t="s">
        <v>157</v>
      </c>
      <c r="X182" s="163" t="s">
        <v>157</v>
      </c>
      <c r="Y182" s="163" t="s">
        <v>148</v>
      </c>
      <c r="Z182" s="163" t="s">
        <v>148</v>
      </c>
      <c r="AA182" s="163" t="s">
        <v>157</v>
      </c>
      <c r="AB182" s="163" t="s">
        <v>159</v>
      </c>
      <c r="AC182" s="196">
        <v>718</v>
      </c>
      <c r="AD182" s="196">
        <f t="shared" si="115"/>
        <v>718</v>
      </c>
      <c r="AE182" s="192" t="str">
        <f t="shared" si="88"/>
        <v>No</v>
      </c>
      <c r="AF182" s="196">
        <f t="shared" si="106"/>
        <v>4135.2015309999997</v>
      </c>
      <c r="AG182" s="159" t="str">
        <f t="shared" si="89"/>
        <v>Cost-effective</v>
      </c>
      <c r="AH182" s="159" t="str">
        <f t="shared" si="90"/>
        <v>Cost-effective</v>
      </c>
      <c r="AI182" s="198">
        <f t="shared" si="91"/>
        <v>0.17363119901592047</v>
      </c>
      <c r="AJ182" s="198">
        <f t="shared" si="107"/>
        <v>0.23</v>
      </c>
      <c r="AK182" s="159" t="str">
        <f t="shared" si="92"/>
        <v>Cost-effective</v>
      </c>
      <c r="AL182" s="198">
        <f t="shared" si="108"/>
        <v>0.16</v>
      </c>
      <c r="AM182" s="162" t="str">
        <f t="shared" si="93"/>
        <v>Not cost-effective</v>
      </c>
      <c r="AN182" s="198">
        <f t="shared" si="109"/>
        <v>0.49283550177804297</v>
      </c>
      <c r="AO182" s="159" t="str">
        <f t="shared" si="94"/>
        <v>Cost-effective</v>
      </c>
      <c r="AP182" s="198">
        <f t="shared" si="110"/>
        <v>0.13024544055948281</v>
      </c>
      <c r="AQ182" s="159" t="str">
        <f t="shared" si="95"/>
        <v>Not cost-effective</v>
      </c>
      <c r="AR182" s="198">
        <f t="shared" si="111"/>
        <v>0.47156105582318236</v>
      </c>
      <c r="AS182" s="159" t="str">
        <f t="shared" si="96"/>
        <v>Cost-effective</v>
      </c>
      <c r="AT182" s="198">
        <f t="shared" si="112"/>
        <v>0.19539555543852891</v>
      </c>
      <c r="AU182" s="159" t="str">
        <f t="shared" si="97"/>
        <v>Cost-effective</v>
      </c>
      <c r="AV182" s="162" t="s">
        <v>160</v>
      </c>
      <c r="AW182" s="162" t="s">
        <v>1995</v>
      </c>
      <c r="AX182" s="168">
        <f t="shared" si="98"/>
        <v>0</v>
      </c>
      <c r="AY182" s="168">
        <f t="shared" si="99"/>
        <v>1</v>
      </c>
      <c r="AZ182" s="163">
        <f t="shared" si="100"/>
        <v>0</v>
      </c>
      <c r="BA182" s="163">
        <f t="shared" si="101"/>
        <v>1</v>
      </c>
      <c r="BB182" s="163">
        <f t="shared" si="102"/>
        <v>0</v>
      </c>
      <c r="BC182" s="163">
        <f t="shared" si="103"/>
        <v>0</v>
      </c>
      <c r="BD182" s="163">
        <f t="shared" si="104"/>
        <v>2</v>
      </c>
      <c r="BE182" s="163" t="s">
        <v>148</v>
      </c>
      <c r="BF182" s="162" t="s">
        <v>1426</v>
      </c>
    </row>
    <row r="183" spans="1:58">
      <c r="A183" s="159">
        <f t="shared" si="113"/>
        <v>54</v>
      </c>
      <c r="B183" s="159">
        <f t="shared" si="114"/>
        <v>8</v>
      </c>
      <c r="C183" s="190" t="str">
        <f t="shared" si="77"/>
        <v>5408</v>
      </c>
      <c r="D183" s="159" t="s">
        <v>81</v>
      </c>
      <c r="E183" s="163">
        <v>2021</v>
      </c>
      <c r="F183" s="162" t="s">
        <v>1975</v>
      </c>
      <c r="G183" s="182" t="s">
        <v>602</v>
      </c>
      <c r="H183" s="163" t="str">
        <f t="shared" si="105"/>
        <v>UM</v>
      </c>
      <c r="I183" s="163" t="s">
        <v>148</v>
      </c>
      <c r="J183" s="162" t="s">
        <v>183</v>
      </c>
      <c r="K183" s="162" t="s">
        <v>151</v>
      </c>
      <c r="L183" s="162" t="s">
        <v>352</v>
      </c>
      <c r="M183" s="162" t="s">
        <v>2013</v>
      </c>
      <c r="N183" s="163" t="s">
        <v>148</v>
      </c>
      <c r="O183" s="162" t="s">
        <v>153</v>
      </c>
      <c r="P183" s="162" t="s">
        <v>154</v>
      </c>
      <c r="Q183" s="162" t="s">
        <v>155</v>
      </c>
      <c r="R183" s="163">
        <v>2019</v>
      </c>
      <c r="S183" s="194">
        <v>3.3</v>
      </c>
      <c r="T183" s="194">
        <f>IF(ISNUMBER(S183),S183/VLOOKUP($Q183,xRates!$A$1:$AA$267,studies!$R183-xRates!$B$1+2,FALSE),S183)</f>
        <v>3.3</v>
      </c>
      <c r="V183" s="194"/>
      <c r="W183" s="163" t="s">
        <v>157</v>
      </c>
      <c r="X183" s="163" t="s">
        <v>157</v>
      </c>
      <c r="Y183" s="163" t="s">
        <v>148</v>
      </c>
      <c r="Z183" s="163" t="s">
        <v>148</v>
      </c>
      <c r="AA183" s="163" t="s">
        <v>157</v>
      </c>
      <c r="AB183" s="163" t="s">
        <v>159</v>
      </c>
      <c r="AC183" s="196">
        <v>810</v>
      </c>
      <c r="AD183" s="196">
        <f t="shared" si="115"/>
        <v>810</v>
      </c>
      <c r="AE183" s="192" t="str">
        <f t="shared" si="88"/>
        <v>No</v>
      </c>
      <c r="AF183" s="196">
        <f t="shared" si="106"/>
        <v>4135.2015309999997</v>
      </c>
      <c r="AG183" s="159" t="str">
        <f t="shared" si="89"/>
        <v>Cost-effective</v>
      </c>
      <c r="AH183" s="159" t="str">
        <f t="shared" si="90"/>
        <v>Cost-effective</v>
      </c>
      <c r="AI183" s="198">
        <f t="shared" si="91"/>
        <v>0.19587920780347576</v>
      </c>
      <c r="AJ183" s="198">
        <f t="shared" si="107"/>
        <v>0.23</v>
      </c>
      <c r="AK183" s="159" t="str">
        <f t="shared" si="92"/>
        <v>Cost-effective</v>
      </c>
      <c r="AL183" s="198">
        <f t="shared" si="108"/>
        <v>0.16</v>
      </c>
      <c r="AM183" s="162" t="str">
        <f t="shared" si="93"/>
        <v>Not cost-effective</v>
      </c>
      <c r="AN183" s="198">
        <f t="shared" si="109"/>
        <v>0.49283550177804297</v>
      </c>
      <c r="AO183" s="159" t="str">
        <f t="shared" si="94"/>
        <v>Cost-effective</v>
      </c>
      <c r="AP183" s="198">
        <f t="shared" si="110"/>
        <v>0.13024544055948281</v>
      </c>
      <c r="AQ183" s="159" t="str">
        <f t="shared" si="95"/>
        <v>Not cost-effective</v>
      </c>
      <c r="AR183" s="198">
        <f t="shared" si="111"/>
        <v>0.47156105582318236</v>
      </c>
      <c r="AS183" s="159" t="str">
        <f t="shared" si="96"/>
        <v>Cost-effective</v>
      </c>
      <c r="AT183" s="198">
        <f t="shared" si="112"/>
        <v>0.19539555543852891</v>
      </c>
      <c r="AU183" s="159" t="str">
        <f t="shared" si="97"/>
        <v>Not cost-effective</v>
      </c>
      <c r="AV183" s="162" t="s">
        <v>160</v>
      </c>
      <c r="AW183" s="162" t="s">
        <v>1995</v>
      </c>
      <c r="AX183" s="168">
        <f t="shared" si="98"/>
        <v>0</v>
      </c>
      <c r="AY183" s="168">
        <f t="shared" si="99"/>
        <v>1</v>
      </c>
      <c r="AZ183" s="163">
        <f t="shared" si="100"/>
        <v>0</v>
      </c>
      <c r="BA183" s="163">
        <f t="shared" si="101"/>
        <v>1</v>
      </c>
      <c r="BB183" s="163">
        <f t="shared" si="102"/>
        <v>0</v>
      </c>
      <c r="BC183" s="163">
        <f t="shared" si="103"/>
        <v>1</v>
      </c>
      <c r="BD183" s="163">
        <f t="shared" si="104"/>
        <v>3</v>
      </c>
      <c r="BE183" s="163" t="s">
        <v>148</v>
      </c>
      <c r="BF183" s="162" t="s">
        <v>1426</v>
      </c>
    </row>
    <row r="184" spans="1:58">
      <c r="A184" s="159">
        <f t="shared" si="113"/>
        <v>54</v>
      </c>
      <c r="B184" s="159">
        <f t="shared" si="114"/>
        <v>9</v>
      </c>
      <c r="C184" s="190" t="str">
        <f t="shared" si="77"/>
        <v>5409</v>
      </c>
      <c r="D184" s="159" t="s">
        <v>81</v>
      </c>
      <c r="E184" s="163">
        <v>2021</v>
      </c>
      <c r="F184" s="162" t="s">
        <v>1975</v>
      </c>
      <c r="G184" s="182" t="s">
        <v>602</v>
      </c>
      <c r="H184" s="163" t="str">
        <f t="shared" si="105"/>
        <v>UM</v>
      </c>
      <c r="I184" s="163" t="s">
        <v>148</v>
      </c>
      <c r="J184" s="162" t="s">
        <v>183</v>
      </c>
      <c r="K184" s="162" t="s">
        <v>151</v>
      </c>
      <c r="L184" s="162" t="s">
        <v>352</v>
      </c>
      <c r="M184" s="162" t="s">
        <v>2013</v>
      </c>
      <c r="N184" s="163" t="s">
        <v>148</v>
      </c>
      <c r="O184" s="162" t="s">
        <v>1979</v>
      </c>
      <c r="P184" s="162" t="s">
        <v>154</v>
      </c>
      <c r="Q184" s="162" t="s">
        <v>155</v>
      </c>
      <c r="R184" s="163">
        <v>2019</v>
      </c>
      <c r="S184" s="194">
        <v>3.3</v>
      </c>
      <c r="T184" s="194">
        <f>IF(ISNUMBER(S184),S184/VLOOKUP($Q184,xRates!$A$1:$AA$267,studies!$R184-xRates!$B$1+2,FALSE),S184)</f>
        <v>3.3</v>
      </c>
      <c r="V184" s="194"/>
      <c r="W184" s="163" t="s">
        <v>157</v>
      </c>
      <c r="X184" s="163" t="s">
        <v>157</v>
      </c>
      <c r="Y184" s="163" t="s">
        <v>148</v>
      </c>
      <c r="Z184" s="163" t="s">
        <v>148</v>
      </c>
      <c r="AA184" s="163" t="s">
        <v>157</v>
      </c>
      <c r="AB184" s="163" t="s">
        <v>159</v>
      </c>
      <c r="AC184" s="196">
        <v>978</v>
      </c>
      <c r="AD184" s="196">
        <f t="shared" si="115"/>
        <v>978</v>
      </c>
      <c r="AE184" s="192" t="str">
        <f t="shared" si="88"/>
        <v>No</v>
      </c>
      <c r="AF184" s="196">
        <f t="shared" si="106"/>
        <v>4135.2015309999997</v>
      </c>
      <c r="AG184" s="159" t="str">
        <f t="shared" si="89"/>
        <v>Cost-effective</v>
      </c>
      <c r="AH184" s="159" t="str">
        <f t="shared" si="90"/>
        <v>Cost-effective</v>
      </c>
      <c r="AI184" s="198">
        <f t="shared" si="91"/>
        <v>0.23650600645901146</v>
      </c>
      <c r="AJ184" s="198">
        <f t="shared" si="107"/>
        <v>0.23</v>
      </c>
      <c r="AK184" s="159" t="str">
        <f t="shared" si="92"/>
        <v>Not cost-effective</v>
      </c>
      <c r="AL184" s="198">
        <f t="shared" si="108"/>
        <v>0.16</v>
      </c>
      <c r="AM184" s="162" t="str">
        <f t="shared" si="93"/>
        <v>Not cost-effective</v>
      </c>
      <c r="AN184" s="198">
        <f t="shared" si="109"/>
        <v>0.49283550177804297</v>
      </c>
      <c r="AO184" s="159" t="str">
        <f t="shared" si="94"/>
        <v>Cost-effective</v>
      </c>
      <c r="AP184" s="198">
        <f t="shared" si="110"/>
        <v>0.13024544055948281</v>
      </c>
      <c r="AQ184" s="159" t="str">
        <f t="shared" si="95"/>
        <v>Not cost-effective</v>
      </c>
      <c r="AR184" s="198">
        <f t="shared" si="111"/>
        <v>0.47156105582318236</v>
      </c>
      <c r="AS184" s="159" t="str">
        <f t="shared" si="96"/>
        <v>Cost-effective</v>
      </c>
      <c r="AT184" s="198">
        <f t="shared" si="112"/>
        <v>0.19539555543852891</v>
      </c>
      <c r="AU184" s="159" t="str">
        <f t="shared" si="97"/>
        <v>Not cost-effective</v>
      </c>
      <c r="AV184" s="162" t="s">
        <v>160</v>
      </c>
      <c r="AW184" s="162" t="s">
        <v>1995</v>
      </c>
      <c r="AX184" s="168">
        <f t="shared" si="98"/>
        <v>1</v>
      </c>
      <c r="AY184" s="168">
        <f t="shared" si="99"/>
        <v>1</v>
      </c>
      <c r="AZ184" s="163">
        <f t="shared" si="100"/>
        <v>0</v>
      </c>
      <c r="BA184" s="163">
        <f t="shared" si="101"/>
        <v>1</v>
      </c>
      <c r="BB184" s="163">
        <f t="shared" si="102"/>
        <v>0</v>
      </c>
      <c r="BC184" s="163">
        <f t="shared" si="103"/>
        <v>1</v>
      </c>
      <c r="BD184" s="163">
        <f t="shared" si="104"/>
        <v>4</v>
      </c>
      <c r="BE184" s="163" t="s">
        <v>148</v>
      </c>
      <c r="BF184" s="162" t="s">
        <v>1426</v>
      </c>
    </row>
    <row r="185" spans="1:58">
      <c r="A185" s="159">
        <f t="shared" si="113"/>
        <v>54</v>
      </c>
      <c r="B185" s="159">
        <f t="shared" si="114"/>
        <v>10</v>
      </c>
      <c r="C185" s="190" t="str">
        <f t="shared" si="77"/>
        <v>5410</v>
      </c>
      <c r="D185" s="159" t="s">
        <v>81</v>
      </c>
      <c r="E185" s="163">
        <v>2021</v>
      </c>
      <c r="F185" s="162" t="s">
        <v>1975</v>
      </c>
      <c r="G185" s="182" t="s">
        <v>602</v>
      </c>
      <c r="H185" s="163" t="str">
        <f t="shared" si="105"/>
        <v>UM</v>
      </c>
      <c r="I185" s="163" t="s">
        <v>148</v>
      </c>
      <c r="J185" s="162" t="s">
        <v>183</v>
      </c>
      <c r="K185" s="162" t="s">
        <v>151</v>
      </c>
      <c r="L185" s="162" t="s">
        <v>352</v>
      </c>
      <c r="M185" s="162" t="s">
        <v>2013</v>
      </c>
      <c r="N185" s="163" t="s">
        <v>148</v>
      </c>
      <c r="O185" s="162" t="s">
        <v>1979</v>
      </c>
      <c r="P185" s="162" t="s">
        <v>154</v>
      </c>
      <c r="Q185" s="162" t="s">
        <v>155</v>
      </c>
      <c r="R185" s="163">
        <v>2019</v>
      </c>
      <c r="S185" s="194">
        <v>17.45</v>
      </c>
      <c r="T185" s="194">
        <f>IF(ISNUMBER(S185),S185/VLOOKUP($Q185,xRates!$A$1:$AA$267,studies!$R185-xRates!$B$1+2,FALSE),S185)</f>
        <v>17.45</v>
      </c>
      <c r="V185" s="194"/>
      <c r="W185" s="163" t="s">
        <v>157</v>
      </c>
      <c r="X185" s="163" t="s">
        <v>157</v>
      </c>
      <c r="Y185" s="163" t="s">
        <v>148</v>
      </c>
      <c r="Z185" s="163" t="s">
        <v>148</v>
      </c>
      <c r="AA185" s="163" t="s">
        <v>157</v>
      </c>
      <c r="AB185" s="163" t="s">
        <v>159</v>
      </c>
      <c r="AC185" s="196">
        <v>1087</v>
      </c>
      <c r="AD185" s="196">
        <f t="shared" si="115"/>
        <v>1087</v>
      </c>
      <c r="AE185" s="192" t="str">
        <f t="shared" si="88"/>
        <v>No</v>
      </c>
      <c r="AF185" s="196">
        <f t="shared" si="106"/>
        <v>4135.2015309999997</v>
      </c>
      <c r="AG185" s="159" t="str">
        <f t="shared" si="89"/>
        <v>Cost-effective</v>
      </c>
      <c r="AH185" s="159" t="str">
        <f t="shared" si="90"/>
        <v>Cost-effective</v>
      </c>
      <c r="AI185" s="198">
        <f t="shared" si="91"/>
        <v>0.26286506034861501</v>
      </c>
      <c r="AJ185" s="198">
        <f t="shared" si="107"/>
        <v>0.23</v>
      </c>
      <c r="AK185" s="159" t="str">
        <f t="shared" si="92"/>
        <v>Not cost-effective</v>
      </c>
      <c r="AL185" s="198">
        <f t="shared" si="108"/>
        <v>0.16</v>
      </c>
      <c r="AM185" s="162" t="str">
        <f t="shared" si="93"/>
        <v>Not cost-effective</v>
      </c>
      <c r="AN185" s="198">
        <f t="shared" si="109"/>
        <v>0.49283550177804297</v>
      </c>
      <c r="AO185" s="159" t="str">
        <f t="shared" si="94"/>
        <v>Cost-effective</v>
      </c>
      <c r="AP185" s="198">
        <f t="shared" si="110"/>
        <v>0.13024544055948281</v>
      </c>
      <c r="AQ185" s="159" t="str">
        <f t="shared" si="95"/>
        <v>Not cost-effective</v>
      </c>
      <c r="AR185" s="198">
        <f t="shared" si="111"/>
        <v>0.47156105582318236</v>
      </c>
      <c r="AS185" s="159" t="str">
        <f t="shared" si="96"/>
        <v>Cost-effective</v>
      </c>
      <c r="AT185" s="198">
        <f t="shared" si="112"/>
        <v>0.19539555543852891</v>
      </c>
      <c r="AU185" s="159" t="str">
        <f t="shared" si="97"/>
        <v>Not cost-effective</v>
      </c>
      <c r="AV185" s="162" t="s">
        <v>160</v>
      </c>
      <c r="AW185" s="162" t="s">
        <v>1995</v>
      </c>
      <c r="AX185" s="168">
        <f t="shared" si="98"/>
        <v>1</v>
      </c>
      <c r="AY185" s="168">
        <f t="shared" si="99"/>
        <v>1</v>
      </c>
      <c r="AZ185" s="163">
        <f t="shared" si="100"/>
        <v>0</v>
      </c>
      <c r="BA185" s="163">
        <f t="shared" si="101"/>
        <v>1</v>
      </c>
      <c r="BB185" s="163">
        <f t="shared" si="102"/>
        <v>0</v>
      </c>
      <c r="BC185" s="163">
        <f t="shared" si="103"/>
        <v>1</v>
      </c>
      <c r="BD185" s="163">
        <f t="shared" si="104"/>
        <v>4</v>
      </c>
      <c r="BE185" s="163" t="s">
        <v>148</v>
      </c>
      <c r="BF185" s="162" t="s">
        <v>1426</v>
      </c>
    </row>
    <row r="186" spans="1:58">
      <c r="A186" s="159">
        <f t="shared" si="113"/>
        <v>54</v>
      </c>
      <c r="B186" s="159">
        <f t="shared" si="114"/>
        <v>11</v>
      </c>
      <c r="C186" s="190" t="str">
        <f t="shared" si="77"/>
        <v>5411</v>
      </c>
      <c r="D186" s="159" t="s">
        <v>81</v>
      </c>
      <c r="E186" s="163">
        <v>2021</v>
      </c>
      <c r="F186" s="162" t="s">
        <v>1975</v>
      </c>
      <c r="G186" s="182" t="s">
        <v>602</v>
      </c>
      <c r="H186" s="163" t="str">
        <f t="shared" si="105"/>
        <v>UM</v>
      </c>
      <c r="I186" s="163" t="s">
        <v>148</v>
      </c>
      <c r="J186" s="162" t="s">
        <v>183</v>
      </c>
      <c r="K186" s="162" t="s">
        <v>151</v>
      </c>
      <c r="L186" s="162" t="s">
        <v>352</v>
      </c>
      <c r="M186" s="162" t="s">
        <v>2013</v>
      </c>
      <c r="N186" s="163" t="s">
        <v>148</v>
      </c>
      <c r="O186" s="162" t="s">
        <v>153</v>
      </c>
      <c r="P186" s="162" t="s">
        <v>154</v>
      </c>
      <c r="Q186" s="162" t="s">
        <v>155</v>
      </c>
      <c r="R186" s="163">
        <v>2019</v>
      </c>
      <c r="S186" s="194">
        <v>17.45</v>
      </c>
      <c r="T186" s="194">
        <f>IF(ISNUMBER(S186),S186/VLOOKUP($Q186,xRates!$A$1:$AA$267,studies!$R186-xRates!$B$1+2,FALSE),S186)</f>
        <v>17.45</v>
      </c>
      <c r="V186" s="194"/>
      <c r="W186" s="163" t="s">
        <v>157</v>
      </c>
      <c r="X186" s="163" t="s">
        <v>157</v>
      </c>
      <c r="Y186" s="163" t="s">
        <v>148</v>
      </c>
      <c r="Z186" s="163" t="s">
        <v>148</v>
      </c>
      <c r="AA186" s="163" t="s">
        <v>157</v>
      </c>
      <c r="AB186" s="163" t="s">
        <v>159</v>
      </c>
      <c r="AC186" s="196">
        <v>1179</v>
      </c>
      <c r="AD186" s="196">
        <f t="shared" si="115"/>
        <v>1179</v>
      </c>
      <c r="AE186" s="192" t="str">
        <f t="shared" si="88"/>
        <v>No</v>
      </c>
      <c r="AF186" s="196">
        <f t="shared" si="106"/>
        <v>4135.2015309999997</v>
      </c>
      <c r="AG186" s="159" t="str">
        <f t="shared" si="89"/>
        <v>Cost-effective</v>
      </c>
      <c r="AH186" s="159" t="str">
        <f t="shared" si="90"/>
        <v>Cost-effective</v>
      </c>
      <c r="AI186" s="198">
        <f t="shared" si="91"/>
        <v>0.28511306913617024</v>
      </c>
      <c r="AJ186" s="198">
        <f t="shared" si="107"/>
        <v>0.23</v>
      </c>
      <c r="AK186" s="159" t="str">
        <f t="shared" si="92"/>
        <v>Not cost-effective</v>
      </c>
      <c r="AL186" s="198">
        <f t="shared" si="108"/>
        <v>0.16</v>
      </c>
      <c r="AM186" s="162" t="str">
        <f t="shared" si="93"/>
        <v>Not cost-effective</v>
      </c>
      <c r="AN186" s="198">
        <f t="shared" si="109"/>
        <v>0.49283550177804297</v>
      </c>
      <c r="AO186" s="159" t="str">
        <f t="shared" si="94"/>
        <v>Cost-effective</v>
      </c>
      <c r="AP186" s="198">
        <f t="shared" si="110"/>
        <v>0.13024544055948281</v>
      </c>
      <c r="AQ186" s="159" t="str">
        <f t="shared" si="95"/>
        <v>Not cost-effective</v>
      </c>
      <c r="AR186" s="198">
        <f t="shared" si="111"/>
        <v>0.47156105582318236</v>
      </c>
      <c r="AS186" s="159" t="str">
        <f t="shared" si="96"/>
        <v>Cost-effective</v>
      </c>
      <c r="AT186" s="198">
        <f t="shared" si="112"/>
        <v>0.19539555543852891</v>
      </c>
      <c r="AU186" s="159" t="str">
        <f t="shared" si="97"/>
        <v>Not cost-effective</v>
      </c>
      <c r="AV186" s="162" t="s">
        <v>160</v>
      </c>
      <c r="AW186" s="162" t="s">
        <v>1995</v>
      </c>
      <c r="AX186" s="168">
        <f t="shared" si="98"/>
        <v>1</v>
      </c>
      <c r="AY186" s="168">
        <f t="shared" si="99"/>
        <v>1</v>
      </c>
      <c r="AZ186" s="163">
        <f t="shared" si="100"/>
        <v>0</v>
      </c>
      <c r="BA186" s="163">
        <f t="shared" si="101"/>
        <v>1</v>
      </c>
      <c r="BB186" s="163">
        <f t="shared" si="102"/>
        <v>0</v>
      </c>
      <c r="BC186" s="163">
        <f t="shared" si="103"/>
        <v>1</v>
      </c>
      <c r="BD186" s="163">
        <f t="shared" si="104"/>
        <v>4</v>
      </c>
      <c r="BE186" s="163" t="s">
        <v>148</v>
      </c>
      <c r="BF186" s="162" t="s">
        <v>1426</v>
      </c>
    </row>
    <row r="187" spans="1:58">
      <c r="A187" s="159">
        <f t="shared" si="113"/>
        <v>54</v>
      </c>
      <c r="B187" s="159">
        <f t="shared" si="114"/>
        <v>12</v>
      </c>
      <c r="C187" s="190" t="str">
        <f t="shared" si="77"/>
        <v>5412</v>
      </c>
      <c r="D187" s="159" t="s">
        <v>81</v>
      </c>
      <c r="E187" s="163">
        <v>2021</v>
      </c>
      <c r="F187" s="162" t="s">
        <v>1975</v>
      </c>
      <c r="G187" s="182" t="s">
        <v>602</v>
      </c>
      <c r="H187" s="163" t="str">
        <f t="shared" si="105"/>
        <v>UM</v>
      </c>
      <c r="I187" s="163" t="s">
        <v>148</v>
      </c>
      <c r="J187" s="162" t="s">
        <v>183</v>
      </c>
      <c r="K187" s="162" t="s">
        <v>151</v>
      </c>
      <c r="L187" s="162" t="s">
        <v>352</v>
      </c>
      <c r="M187" s="162" t="s">
        <v>2013</v>
      </c>
      <c r="N187" s="163" t="s">
        <v>148</v>
      </c>
      <c r="O187" s="162" t="s">
        <v>1979</v>
      </c>
      <c r="P187" s="162" t="s">
        <v>154</v>
      </c>
      <c r="Q187" s="162" t="s">
        <v>155</v>
      </c>
      <c r="R187" s="163">
        <v>2019</v>
      </c>
      <c r="S187" s="194">
        <v>17.45</v>
      </c>
      <c r="T187" s="194">
        <f>IF(ISNUMBER(S187),S187/VLOOKUP($Q187,xRates!$A$1:$AA$267,studies!$R187-xRates!$B$1+2,FALSE),S187)</f>
        <v>17.45</v>
      </c>
      <c r="V187" s="194"/>
      <c r="W187" s="163" t="s">
        <v>157</v>
      </c>
      <c r="X187" s="163" t="s">
        <v>157</v>
      </c>
      <c r="Y187" s="163" t="s">
        <v>148</v>
      </c>
      <c r="Z187" s="163" t="s">
        <v>148</v>
      </c>
      <c r="AA187" s="163" t="s">
        <v>157</v>
      </c>
      <c r="AB187" s="163" t="s">
        <v>159</v>
      </c>
      <c r="AC187" s="196">
        <v>1248</v>
      </c>
      <c r="AD187" s="196">
        <f t="shared" si="115"/>
        <v>1248</v>
      </c>
      <c r="AE187" s="192" t="str">
        <f t="shared" si="88"/>
        <v>No</v>
      </c>
      <c r="AF187" s="196">
        <f t="shared" si="106"/>
        <v>4135.2015309999997</v>
      </c>
      <c r="AG187" s="159" t="str">
        <f t="shared" si="89"/>
        <v>Cost-effective</v>
      </c>
      <c r="AH187" s="159" t="str">
        <f t="shared" si="90"/>
        <v>Cost-effective</v>
      </c>
      <c r="AI187" s="198">
        <f t="shared" si="91"/>
        <v>0.30179907572683673</v>
      </c>
      <c r="AJ187" s="198">
        <f t="shared" si="107"/>
        <v>0.23</v>
      </c>
      <c r="AK187" s="159" t="str">
        <f t="shared" si="92"/>
        <v>Not cost-effective</v>
      </c>
      <c r="AL187" s="198">
        <f t="shared" si="108"/>
        <v>0.16</v>
      </c>
      <c r="AM187" s="162" t="str">
        <f t="shared" si="93"/>
        <v>Not cost-effective</v>
      </c>
      <c r="AN187" s="198">
        <f t="shared" si="109"/>
        <v>0.49283550177804297</v>
      </c>
      <c r="AO187" s="159" t="str">
        <f t="shared" si="94"/>
        <v>Cost-effective</v>
      </c>
      <c r="AP187" s="198">
        <f t="shared" si="110"/>
        <v>0.13024544055948281</v>
      </c>
      <c r="AQ187" s="159" t="str">
        <f t="shared" si="95"/>
        <v>Not cost-effective</v>
      </c>
      <c r="AR187" s="198">
        <f t="shared" si="111"/>
        <v>0.47156105582318236</v>
      </c>
      <c r="AS187" s="159" t="str">
        <f t="shared" si="96"/>
        <v>Cost-effective</v>
      </c>
      <c r="AT187" s="198">
        <f t="shared" si="112"/>
        <v>0.19539555543852891</v>
      </c>
      <c r="AU187" s="159" t="str">
        <f t="shared" si="97"/>
        <v>Not cost-effective</v>
      </c>
      <c r="AV187" s="162" t="s">
        <v>160</v>
      </c>
      <c r="AW187" s="162" t="s">
        <v>1995</v>
      </c>
      <c r="AX187" s="168">
        <f t="shared" si="98"/>
        <v>1</v>
      </c>
      <c r="AY187" s="168">
        <f t="shared" si="99"/>
        <v>1</v>
      </c>
      <c r="AZ187" s="163">
        <f t="shared" si="100"/>
        <v>0</v>
      </c>
      <c r="BA187" s="163">
        <f t="shared" si="101"/>
        <v>1</v>
      </c>
      <c r="BB187" s="163">
        <f t="shared" si="102"/>
        <v>0</v>
      </c>
      <c r="BC187" s="163">
        <f t="shared" si="103"/>
        <v>1</v>
      </c>
      <c r="BD187" s="163">
        <f t="shared" si="104"/>
        <v>4</v>
      </c>
      <c r="BE187" s="163" t="s">
        <v>148</v>
      </c>
      <c r="BF187" s="162" t="s">
        <v>1426</v>
      </c>
    </row>
    <row r="188" spans="1:58">
      <c r="A188" s="159">
        <f t="shared" si="113"/>
        <v>55</v>
      </c>
      <c r="B188" s="159">
        <f t="shared" si="114"/>
        <v>1</v>
      </c>
      <c r="C188" s="190" t="str">
        <f t="shared" si="77"/>
        <v>5501</v>
      </c>
      <c r="D188" s="159" t="s">
        <v>83</v>
      </c>
      <c r="E188" s="163">
        <v>2021</v>
      </c>
      <c r="F188" s="162" t="s">
        <v>1976</v>
      </c>
      <c r="G188" s="182" t="s">
        <v>147</v>
      </c>
      <c r="H188" s="163" t="str">
        <f t="shared" si="105"/>
        <v>UM</v>
      </c>
      <c r="I188" s="163" t="s">
        <v>148</v>
      </c>
      <c r="J188" s="162" t="s">
        <v>186</v>
      </c>
      <c r="K188" s="162" t="s">
        <v>151</v>
      </c>
      <c r="L188" s="162" t="s">
        <v>353</v>
      </c>
      <c r="M188" s="162" t="s">
        <v>2014</v>
      </c>
      <c r="N188" s="163" t="s">
        <v>148</v>
      </c>
      <c r="O188" s="162" t="s">
        <v>153</v>
      </c>
      <c r="P188" s="162" t="s">
        <v>154</v>
      </c>
      <c r="Q188" s="162" t="s">
        <v>155</v>
      </c>
      <c r="R188" s="163">
        <v>2019</v>
      </c>
      <c r="S188" s="194">
        <v>81</v>
      </c>
      <c r="T188" s="194">
        <f>IF(ISNUMBER(S188),S188/VLOOKUP($Q188,xRates!$A$1:$AA$267,studies!$R188-xRates!$B$1+2,FALSE),S188)</f>
        <v>81</v>
      </c>
      <c r="V188" s="194"/>
      <c r="W188" s="163" t="s">
        <v>157</v>
      </c>
      <c r="X188" s="163" t="s">
        <v>157</v>
      </c>
      <c r="Y188" s="163" t="s">
        <v>148</v>
      </c>
      <c r="Z188" s="163" t="s">
        <v>148</v>
      </c>
      <c r="AA188" s="163" t="s">
        <v>148</v>
      </c>
      <c r="AB188" s="163" t="s">
        <v>159</v>
      </c>
      <c r="AC188" s="196">
        <v>15394</v>
      </c>
      <c r="AD188" s="196">
        <f t="shared" si="115"/>
        <v>15394</v>
      </c>
      <c r="AE188" s="192" t="str">
        <f t="shared" si="88"/>
        <v>No</v>
      </c>
      <c r="AF188" s="196">
        <f t="shared" si="106"/>
        <v>10143.838170000001</v>
      </c>
      <c r="AG188" s="159" t="str">
        <f t="shared" si="89"/>
        <v>Not cost-effective</v>
      </c>
      <c r="AH188" s="159" t="str">
        <f t="shared" si="90"/>
        <v>Cost-effective</v>
      </c>
      <c r="AI188" s="198">
        <f t="shared" si="91"/>
        <v>1.5175715288446876</v>
      </c>
      <c r="AJ188" s="198">
        <f t="shared" si="107"/>
        <v>0.71</v>
      </c>
      <c r="AK188" s="159" t="str">
        <f t="shared" si="92"/>
        <v>Not cost-effective</v>
      </c>
      <c r="AL188" s="198">
        <f t="shared" si="108"/>
        <v>0.45</v>
      </c>
      <c r="AM188" s="162" t="str">
        <f t="shared" si="93"/>
        <v>Not cost-effective</v>
      </c>
      <c r="AN188" s="198">
        <f t="shared" si="109"/>
        <v>0.6481168977852142</v>
      </c>
      <c r="AO188" s="159" t="str">
        <f t="shared" si="94"/>
        <v>Not cost-effective</v>
      </c>
      <c r="AP188" s="198">
        <f t="shared" si="110"/>
        <v>0.16395220864852342</v>
      </c>
      <c r="AQ188" s="159" t="str">
        <f t="shared" si="95"/>
        <v>Not cost-effective</v>
      </c>
      <c r="AR188" s="198">
        <f t="shared" si="111"/>
        <v>0.90271550536772804</v>
      </c>
      <c r="AS188" s="159" t="str">
        <f t="shared" si="96"/>
        <v>Not cost-effective</v>
      </c>
      <c r="AT188" s="198">
        <f t="shared" si="112"/>
        <v>0.37411874444365267</v>
      </c>
      <c r="AU188" s="159" t="str">
        <f t="shared" si="97"/>
        <v>Not cost-effective</v>
      </c>
      <c r="AV188" s="162" t="s">
        <v>173</v>
      </c>
      <c r="AW188" s="162" t="s">
        <v>1995</v>
      </c>
      <c r="AX188" s="168">
        <f t="shared" si="98"/>
        <v>1</v>
      </c>
      <c r="AY188" s="168">
        <f t="shared" si="99"/>
        <v>1</v>
      </c>
      <c r="AZ188" s="163">
        <f t="shared" si="100"/>
        <v>1</v>
      </c>
      <c r="BA188" s="163">
        <f t="shared" si="101"/>
        <v>1</v>
      </c>
      <c r="BB188" s="163">
        <f t="shared" si="102"/>
        <v>1</v>
      </c>
      <c r="BC188" s="163">
        <f t="shared" si="103"/>
        <v>1</v>
      </c>
      <c r="BD188" s="163">
        <f t="shared" si="104"/>
        <v>6</v>
      </c>
      <c r="BE188" s="163" t="s">
        <v>157</v>
      </c>
      <c r="BF188" s="162" t="s">
        <v>1427</v>
      </c>
    </row>
    <row r="189" spans="1:58">
      <c r="A189" s="159">
        <f t="shared" si="113"/>
        <v>55</v>
      </c>
      <c r="B189" s="159">
        <f t="shared" si="114"/>
        <v>2</v>
      </c>
      <c r="C189" s="190" t="str">
        <f t="shared" si="77"/>
        <v>5502</v>
      </c>
      <c r="D189" s="159" t="s">
        <v>83</v>
      </c>
      <c r="E189" s="163">
        <v>2021</v>
      </c>
      <c r="F189" s="162" t="s">
        <v>1976</v>
      </c>
      <c r="G189" s="182" t="s">
        <v>147</v>
      </c>
      <c r="H189" s="163" t="str">
        <f t="shared" si="105"/>
        <v>UM</v>
      </c>
      <c r="I189" s="163" t="s">
        <v>148</v>
      </c>
      <c r="J189" s="162" t="s">
        <v>186</v>
      </c>
      <c r="K189" s="162" t="s">
        <v>151</v>
      </c>
      <c r="L189" s="162" t="s">
        <v>353</v>
      </c>
      <c r="M189" s="162" t="s">
        <v>2013</v>
      </c>
      <c r="N189" s="163" t="s">
        <v>148</v>
      </c>
      <c r="O189" s="162" t="s">
        <v>153</v>
      </c>
      <c r="P189" s="162" t="s">
        <v>154</v>
      </c>
      <c r="Q189" s="162" t="s">
        <v>155</v>
      </c>
      <c r="R189" s="163">
        <v>2019</v>
      </c>
      <c r="S189" s="194">
        <v>81</v>
      </c>
      <c r="T189" s="194">
        <f>IF(ISNUMBER(S189),S189/VLOOKUP($Q189,xRates!$A$1:$AA$267,studies!$R189-xRates!$B$1+2,FALSE),S189)</f>
        <v>81</v>
      </c>
      <c r="V189" s="194"/>
      <c r="W189" s="163" t="s">
        <v>157</v>
      </c>
      <c r="X189" s="163" t="s">
        <v>157</v>
      </c>
      <c r="Y189" s="163" t="s">
        <v>148</v>
      </c>
      <c r="Z189" s="163" t="s">
        <v>148</v>
      </c>
      <c r="AA189" s="163" t="s">
        <v>148</v>
      </c>
      <c r="AB189" s="163" t="s">
        <v>159</v>
      </c>
      <c r="AC189" s="196">
        <v>2292</v>
      </c>
      <c r="AD189" s="196">
        <f t="shared" si="115"/>
        <v>2292</v>
      </c>
      <c r="AE189" s="192" t="str">
        <f t="shared" si="88"/>
        <v>No</v>
      </c>
      <c r="AF189" s="196">
        <f t="shared" si="106"/>
        <v>10143.838170000001</v>
      </c>
      <c r="AG189" s="159" t="str">
        <f t="shared" si="89"/>
        <v>Cost-effective</v>
      </c>
      <c r="AH189" s="159" t="str">
        <f t="shared" si="90"/>
        <v>Cost-effective</v>
      </c>
      <c r="AI189" s="198">
        <f t="shared" si="91"/>
        <v>0.22594997688138393</v>
      </c>
      <c r="AJ189" s="198">
        <f t="shared" si="107"/>
        <v>0.71</v>
      </c>
      <c r="AK189" s="159" t="str">
        <f t="shared" si="92"/>
        <v>Cost-effective</v>
      </c>
      <c r="AL189" s="198">
        <f t="shared" si="108"/>
        <v>0.45</v>
      </c>
      <c r="AM189" s="162" t="str">
        <f t="shared" si="93"/>
        <v>Cost-effective</v>
      </c>
      <c r="AN189" s="198">
        <f t="shared" si="109"/>
        <v>0.6481168977852142</v>
      </c>
      <c r="AO189" s="159" t="str">
        <f t="shared" si="94"/>
        <v>Cost-effective</v>
      </c>
      <c r="AP189" s="198">
        <f t="shared" si="110"/>
        <v>0.16395220864852342</v>
      </c>
      <c r="AQ189" s="159" t="str">
        <f t="shared" si="95"/>
        <v>Not cost-effective</v>
      </c>
      <c r="AR189" s="198">
        <f t="shared" si="111"/>
        <v>0.90271550536772804</v>
      </c>
      <c r="AS189" s="159" t="str">
        <f t="shared" si="96"/>
        <v>Cost-effective</v>
      </c>
      <c r="AT189" s="198">
        <f t="shared" si="112"/>
        <v>0.37411874444365267</v>
      </c>
      <c r="AU189" s="159" t="str">
        <f t="shared" si="97"/>
        <v>Cost-effective</v>
      </c>
      <c r="AV189" s="162" t="s">
        <v>173</v>
      </c>
      <c r="AW189" s="162" t="s">
        <v>1995</v>
      </c>
      <c r="AX189" s="168">
        <f t="shared" si="98"/>
        <v>0</v>
      </c>
      <c r="AY189" s="168">
        <f t="shared" si="99"/>
        <v>0</v>
      </c>
      <c r="AZ189" s="163">
        <f t="shared" si="100"/>
        <v>0</v>
      </c>
      <c r="BA189" s="163">
        <f t="shared" si="101"/>
        <v>1</v>
      </c>
      <c r="BB189" s="163">
        <f t="shared" si="102"/>
        <v>0</v>
      </c>
      <c r="BC189" s="163">
        <f t="shared" si="103"/>
        <v>0</v>
      </c>
      <c r="BD189" s="163">
        <f t="shared" si="104"/>
        <v>1</v>
      </c>
      <c r="BE189" s="163" t="s">
        <v>157</v>
      </c>
      <c r="BF189" s="162" t="s">
        <v>1427</v>
      </c>
    </row>
    <row r="190" spans="1:58">
      <c r="A190" s="159">
        <f t="shared" si="113"/>
        <v>55</v>
      </c>
      <c r="B190" s="159">
        <f t="shared" si="114"/>
        <v>3</v>
      </c>
      <c r="C190" s="190" t="str">
        <f t="shared" si="77"/>
        <v>5503</v>
      </c>
      <c r="D190" s="159" t="s">
        <v>83</v>
      </c>
      <c r="E190" s="163">
        <v>2021</v>
      </c>
      <c r="F190" s="162" t="s">
        <v>1976</v>
      </c>
      <c r="G190" s="182" t="s">
        <v>147</v>
      </c>
      <c r="H190" s="163" t="str">
        <f t="shared" si="105"/>
        <v>UM</v>
      </c>
      <c r="I190" s="163" t="s">
        <v>148</v>
      </c>
      <c r="J190" s="162" t="s">
        <v>186</v>
      </c>
      <c r="K190" s="162" t="s">
        <v>151</v>
      </c>
      <c r="L190" s="162" t="s">
        <v>353</v>
      </c>
      <c r="M190" s="162" t="s">
        <v>2015</v>
      </c>
      <c r="N190" s="163" t="s">
        <v>148</v>
      </c>
      <c r="O190" s="162" t="s">
        <v>153</v>
      </c>
      <c r="P190" s="162" t="s">
        <v>154</v>
      </c>
      <c r="Q190" s="162" t="s">
        <v>155</v>
      </c>
      <c r="R190" s="163">
        <v>2019</v>
      </c>
      <c r="S190" s="194">
        <v>81</v>
      </c>
      <c r="T190" s="194">
        <f>IF(ISNUMBER(S190),S190/VLOOKUP($Q190,xRates!$A$1:$AA$267,studies!$R190-xRates!$B$1+2,FALSE),S190)</f>
        <v>81</v>
      </c>
      <c r="V190" s="194"/>
      <c r="W190" s="163" t="s">
        <v>157</v>
      </c>
      <c r="X190" s="163" t="s">
        <v>157</v>
      </c>
      <c r="Y190" s="163" t="s">
        <v>148</v>
      </c>
      <c r="Z190" s="163" t="s">
        <v>148</v>
      </c>
      <c r="AA190" s="163" t="s">
        <v>148</v>
      </c>
      <c r="AB190" s="163" t="s">
        <v>159</v>
      </c>
      <c r="AC190" s="196">
        <v>3445</v>
      </c>
      <c r="AD190" s="196">
        <f t="shared" si="115"/>
        <v>3445</v>
      </c>
      <c r="AE190" s="192" t="str">
        <f t="shared" si="88"/>
        <v>No</v>
      </c>
      <c r="AF190" s="196">
        <f t="shared" si="106"/>
        <v>10143.838170000001</v>
      </c>
      <c r="AG190" s="159" t="str">
        <f t="shared" si="89"/>
        <v>Cost-effective</v>
      </c>
      <c r="AH190" s="159" t="str">
        <f t="shared" si="90"/>
        <v>Cost-effective</v>
      </c>
      <c r="AI190" s="198">
        <f t="shared" si="91"/>
        <v>0.33961503942249893</v>
      </c>
      <c r="AJ190" s="198">
        <f t="shared" si="107"/>
        <v>0.71</v>
      </c>
      <c r="AK190" s="159" t="str">
        <f t="shared" si="92"/>
        <v>Cost-effective</v>
      </c>
      <c r="AL190" s="198">
        <f t="shared" si="108"/>
        <v>0.45</v>
      </c>
      <c r="AM190" s="162" t="str">
        <f t="shared" si="93"/>
        <v>Cost-effective</v>
      </c>
      <c r="AN190" s="198">
        <f t="shared" si="109"/>
        <v>0.6481168977852142</v>
      </c>
      <c r="AO190" s="159" t="str">
        <f t="shared" si="94"/>
        <v>Cost-effective</v>
      </c>
      <c r="AP190" s="198">
        <f t="shared" si="110"/>
        <v>0.16395220864852342</v>
      </c>
      <c r="AQ190" s="159" t="str">
        <f t="shared" si="95"/>
        <v>Not cost-effective</v>
      </c>
      <c r="AR190" s="198">
        <f t="shared" si="111"/>
        <v>0.90271550536772804</v>
      </c>
      <c r="AS190" s="159" t="str">
        <f t="shared" si="96"/>
        <v>Cost-effective</v>
      </c>
      <c r="AT190" s="198">
        <f t="shared" si="112"/>
        <v>0.37411874444365267</v>
      </c>
      <c r="AU190" s="159" t="str">
        <f t="shared" si="97"/>
        <v>Cost-effective</v>
      </c>
      <c r="AV190" s="162" t="s">
        <v>173</v>
      </c>
      <c r="AW190" s="162" t="s">
        <v>1995</v>
      </c>
      <c r="AX190" s="168">
        <f t="shared" si="98"/>
        <v>0</v>
      </c>
      <c r="AY190" s="168">
        <f t="shared" si="99"/>
        <v>0</v>
      </c>
      <c r="AZ190" s="163">
        <f t="shared" si="100"/>
        <v>0</v>
      </c>
      <c r="BA190" s="163">
        <f t="shared" si="101"/>
        <v>1</v>
      </c>
      <c r="BB190" s="163">
        <f t="shared" si="102"/>
        <v>0</v>
      </c>
      <c r="BC190" s="163">
        <f t="shared" si="103"/>
        <v>0</v>
      </c>
      <c r="BD190" s="163">
        <f t="shared" si="104"/>
        <v>1</v>
      </c>
      <c r="BE190" s="163" t="s">
        <v>157</v>
      </c>
      <c r="BF190" s="162" t="s">
        <v>1427</v>
      </c>
    </row>
    <row r="191" spans="1:58">
      <c r="A191" s="159">
        <f t="shared" si="113"/>
        <v>55</v>
      </c>
      <c r="B191" s="159">
        <f t="shared" si="114"/>
        <v>4</v>
      </c>
      <c r="C191" s="190" t="str">
        <f t="shared" si="77"/>
        <v>5504</v>
      </c>
      <c r="D191" s="159" t="s">
        <v>83</v>
      </c>
      <c r="E191" s="163">
        <v>2021</v>
      </c>
      <c r="F191" s="162" t="s">
        <v>1976</v>
      </c>
      <c r="G191" s="182" t="s">
        <v>147</v>
      </c>
      <c r="H191" s="163" t="str">
        <f t="shared" si="105"/>
        <v>UM</v>
      </c>
      <c r="I191" s="163" t="s">
        <v>148</v>
      </c>
      <c r="J191" s="162" t="s">
        <v>186</v>
      </c>
      <c r="K191" s="162" t="s">
        <v>151</v>
      </c>
      <c r="L191" s="162" t="s">
        <v>353</v>
      </c>
      <c r="M191" s="162" t="s">
        <v>2015</v>
      </c>
      <c r="N191" s="163" t="s">
        <v>148</v>
      </c>
      <c r="O191" s="162" t="s">
        <v>153</v>
      </c>
      <c r="P191" s="162" t="s">
        <v>154</v>
      </c>
      <c r="Q191" s="162" t="s">
        <v>155</v>
      </c>
      <c r="R191" s="163">
        <v>2019</v>
      </c>
      <c r="S191" s="194">
        <v>81</v>
      </c>
      <c r="T191" s="194">
        <f>IF(ISNUMBER(S191),S191/VLOOKUP($Q191,xRates!$A$1:$AA$267,studies!$R191-xRates!$B$1+2,FALSE),S191)</f>
        <v>81</v>
      </c>
      <c r="V191" s="194"/>
      <c r="W191" s="163" t="s">
        <v>157</v>
      </c>
      <c r="X191" s="163" t="s">
        <v>157</v>
      </c>
      <c r="Y191" s="163" t="s">
        <v>148</v>
      </c>
      <c r="Z191" s="163" t="s">
        <v>148</v>
      </c>
      <c r="AA191" s="163" t="s">
        <v>148</v>
      </c>
      <c r="AB191" s="163" t="s">
        <v>159</v>
      </c>
      <c r="AC191" s="196">
        <v>4417</v>
      </c>
      <c r="AD191" s="196">
        <f t="shared" si="115"/>
        <v>4417</v>
      </c>
      <c r="AE191" s="192" t="str">
        <f t="shared" si="88"/>
        <v>No</v>
      </c>
      <c r="AF191" s="196">
        <f t="shared" si="106"/>
        <v>10143.838170000001</v>
      </c>
      <c r="AG191" s="159" t="str">
        <f t="shared" si="89"/>
        <v>Cost-effective</v>
      </c>
      <c r="AH191" s="159" t="str">
        <f t="shared" si="90"/>
        <v>Cost-effective</v>
      </c>
      <c r="AI191" s="198">
        <f t="shared" si="91"/>
        <v>0.43543675736696019</v>
      </c>
      <c r="AJ191" s="198">
        <f t="shared" si="107"/>
        <v>0.71</v>
      </c>
      <c r="AK191" s="159" t="str">
        <f t="shared" si="92"/>
        <v>Cost-effective</v>
      </c>
      <c r="AL191" s="198">
        <f t="shared" si="108"/>
        <v>0.45</v>
      </c>
      <c r="AM191" s="162" t="str">
        <f t="shared" si="93"/>
        <v>Cost-effective</v>
      </c>
      <c r="AN191" s="198">
        <f t="shared" si="109"/>
        <v>0.6481168977852142</v>
      </c>
      <c r="AO191" s="159" t="str">
        <f t="shared" si="94"/>
        <v>Cost-effective</v>
      </c>
      <c r="AP191" s="198">
        <f t="shared" si="110"/>
        <v>0.16395220864852342</v>
      </c>
      <c r="AQ191" s="159" t="str">
        <f t="shared" si="95"/>
        <v>Not cost-effective</v>
      </c>
      <c r="AR191" s="198">
        <f t="shared" si="111"/>
        <v>0.90271550536772804</v>
      </c>
      <c r="AS191" s="159" t="str">
        <f t="shared" si="96"/>
        <v>Cost-effective</v>
      </c>
      <c r="AT191" s="198">
        <f t="shared" si="112"/>
        <v>0.37411874444365267</v>
      </c>
      <c r="AU191" s="159" t="str">
        <f t="shared" si="97"/>
        <v>Not cost-effective</v>
      </c>
      <c r="AV191" s="162" t="s">
        <v>173</v>
      </c>
      <c r="AW191" s="162" t="s">
        <v>1995</v>
      </c>
      <c r="AX191" s="168">
        <f t="shared" si="98"/>
        <v>0</v>
      </c>
      <c r="AY191" s="168">
        <f t="shared" si="99"/>
        <v>0</v>
      </c>
      <c r="AZ191" s="163">
        <f t="shared" si="100"/>
        <v>0</v>
      </c>
      <c r="BA191" s="163">
        <f t="shared" si="101"/>
        <v>1</v>
      </c>
      <c r="BB191" s="163">
        <f t="shared" si="102"/>
        <v>0</v>
      </c>
      <c r="BC191" s="163">
        <f t="shared" si="103"/>
        <v>1</v>
      </c>
      <c r="BD191" s="163">
        <f t="shared" si="104"/>
        <v>2</v>
      </c>
      <c r="BE191" s="163" t="s">
        <v>157</v>
      </c>
      <c r="BF191" s="162" t="s">
        <v>1427</v>
      </c>
    </row>
    <row r="192" spans="1:58">
      <c r="A192" s="159">
        <f t="shared" si="113"/>
        <v>56</v>
      </c>
      <c r="B192" s="159">
        <f t="shared" si="114"/>
        <v>1</v>
      </c>
      <c r="C192" s="190" t="str">
        <f t="shared" si="77"/>
        <v>5601</v>
      </c>
      <c r="D192" s="159" t="s">
        <v>631</v>
      </c>
      <c r="E192" s="163">
        <v>2020</v>
      </c>
      <c r="F192" s="162" t="s">
        <v>1977</v>
      </c>
      <c r="G192" s="162" t="s">
        <v>214</v>
      </c>
      <c r="H192" s="163" t="str">
        <f t="shared" si="105"/>
        <v>UM</v>
      </c>
      <c r="I192" s="163" t="s">
        <v>148</v>
      </c>
      <c r="J192" s="162" t="s">
        <v>186</v>
      </c>
      <c r="K192" s="162" t="s">
        <v>183</v>
      </c>
      <c r="L192" s="162" t="s">
        <v>371</v>
      </c>
      <c r="M192" s="162" t="s">
        <v>2013</v>
      </c>
      <c r="N192" s="163" t="s">
        <v>148</v>
      </c>
      <c r="O192" s="162" t="s">
        <v>153</v>
      </c>
      <c r="P192" s="162" t="s">
        <v>154</v>
      </c>
      <c r="Q192" s="162" t="s">
        <v>155</v>
      </c>
      <c r="R192" s="163">
        <v>2018</v>
      </c>
      <c r="V192" s="194"/>
      <c r="W192" s="163" t="s">
        <v>148</v>
      </c>
      <c r="X192" s="163" t="s">
        <v>157</v>
      </c>
      <c r="Y192" s="163" t="s">
        <v>148</v>
      </c>
      <c r="Z192" s="163" t="s">
        <v>148</v>
      </c>
      <c r="AA192" s="163" t="s">
        <v>148</v>
      </c>
      <c r="AB192" s="163" t="s">
        <v>159</v>
      </c>
      <c r="AC192" s="196">
        <f>-89904777/2280</f>
        <v>-39431.919736842108</v>
      </c>
      <c r="AD192" s="196">
        <f t="shared" si="115"/>
        <v>-39431.919736842108</v>
      </c>
      <c r="AE192" s="192" t="str">
        <f t="shared" si="88"/>
        <v>Yes</v>
      </c>
      <c r="AF192" s="196">
        <f t="shared" si="106"/>
        <v>11380.08209</v>
      </c>
      <c r="AG192" s="159" t="str">
        <f t="shared" si="89"/>
        <v>Cost-saving</v>
      </c>
      <c r="AH192" s="159" t="str">
        <f t="shared" si="90"/>
        <v>Cost-saving</v>
      </c>
      <c r="AI192" s="198">
        <f t="shared" si="91"/>
        <v>-3.4649943141879489</v>
      </c>
      <c r="AJ192" s="198">
        <f t="shared" si="107"/>
        <v>0.75</v>
      </c>
      <c r="AK192" s="159" t="str">
        <f t="shared" si="92"/>
        <v>Cost-saving</v>
      </c>
      <c r="AL192" s="198">
        <f t="shared" si="108"/>
        <v>0.45</v>
      </c>
      <c r="AM192" s="162" t="str">
        <f t="shared" si="93"/>
        <v>Cost-saving</v>
      </c>
      <c r="AN192" s="198">
        <f t="shared" si="109"/>
        <v>0.56444312933505247</v>
      </c>
      <c r="AO192" s="159" t="str">
        <f t="shared" si="94"/>
        <v>Cost-saving</v>
      </c>
      <c r="AP192" s="198">
        <f t="shared" si="110"/>
        <v>0.31731694657870113</v>
      </c>
      <c r="AQ192" s="159" t="str">
        <f t="shared" si="95"/>
        <v>Cost-saving</v>
      </c>
      <c r="AR192" s="198">
        <f t="shared" si="111"/>
        <v>0.6686887394303227</v>
      </c>
      <c r="AS192" s="159" t="str">
        <f t="shared" si="96"/>
        <v>Cost-saving</v>
      </c>
      <c r="AT192" s="198">
        <f t="shared" si="112"/>
        <v>0.2771843839443679</v>
      </c>
      <c r="AU192" s="159" t="str">
        <f t="shared" si="97"/>
        <v>Cost-saving</v>
      </c>
      <c r="AV192" s="162" t="s">
        <v>173</v>
      </c>
      <c r="AW192" s="162" t="s">
        <v>1995</v>
      </c>
      <c r="AX192" s="168">
        <f t="shared" si="98"/>
        <v>0</v>
      </c>
      <c r="AY192" s="168">
        <f t="shared" si="99"/>
        <v>0</v>
      </c>
      <c r="AZ192" s="163">
        <f t="shared" si="100"/>
        <v>0</v>
      </c>
      <c r="BA192" s="163">
        <f t="shared" si="101"/>
        <v>0</v>
      </c>
      <c r="BB192" s="163">
        <f t="shared" si="102"/>
        <v>0</v>
      </c>
      <c r="BC192" s="163">
        <f t="shared" si="103"/>
        <v>0</v>
      </c>
      <c r="BD192" s="163">
        <f t="shared" si="104"/>
        <v>0</v>
      </c>
      <c r="BE192" s="163" t="s">
        <v>157</v>
      </c>
      <c r="BF192" s="162" t="s">
        <v>1425</v>
      </c>
    </row>
    <row r="193" spans="1:58">
      <c r="A193" s="159">
        <f t="shared" si="113"/>
        <v>56</v>
      </c>
      <c r="B193" s="159">
        <f t="shared" si="114"/>
        <v>2</v>
      </c>
      <c r="C193" s="190" t="str">
        <f t="shared" si="77"/>
        <v>5602</v>
      </c>
      <c r="D193" s="159" t="s">
        <v>631</v>
      </c>
      <c r="E193" s="163">
        <v>2020</v>
      </c>
      <c r="F193" s="162" t="s">
        <v>1977</v>
      </c>
      <c r="G193" s="162" t="s">
        <v>214</v>
      </c>
      <c r="H193" s="163" t="str">
        <f t="shared" si="105"/>
        <v>UM</v>
      </c>
      <c r="I193" s="163" t="s">
        <v>148</v>
      </c>
      <c r="J193" s="162" t="s">
        <v>186</v>
      </c>
      <c r="K193" s="162" t="s">
        <v>151</v>
      </c>
      <c r="L193" s="162" t="s">
        <v>353</v>
      </c>
      <c r="M193" s="162" t="s">
        <v>2013</v>
      </c>
      <c r="N193" s="163" t="s">
        <v>148</v>
      </c>
      <c r="O193" s="162" t="s">
        <v>153</v>
      </c>
      <c r="P193" s="162" t="s">
        <v>154</v>
      </c>
      <c r="Q193" s="162" t="s">
        <v>155</v>
      </c>
      <c r="R193" s="163">
        <v>2018</v>
      </c>
      <c r="V193" s="194"/>
      <c r="W193" s="163" t="s">
        <v>148</v>
      </c>
      <c r="X193" s="163" t="s">
        <v>157</v>
      </c>
      <c r="Y193" s="163" t="s">
        <v>148</v>
      </c>
      <c r="Z193" s="163" t="s">
        <v>148</v>
      </c>
      <c r="AA193" s="163" t="s">
        <v>148</v>
      </c>
      <c r="AB193" s="163" t="s">
        <v>159</v>
      </c>
      <c r="AC193" s="196">
        <f>-448382729/6008</f>
        <v>-74630.946904127835</v>
      </c>
      <c r="AD193" s="196">
        <f t="shared" si="115"/>
        <v>-74630.946904127835</v>
      </c>
      <c r="AE193" s="192" t="str">
        <f t="shared" si="88"/>
        <v>Yes</v>
      </c>
      <c r="AF193" s="196">
        <f t="shared" si="106"/>
        <v>11380.08209</v>
      </c>
      <c r="AG193" s="159" t="str">
        <f t="shared" si="89"/>
        <v>Cost-saving</v>
      </c>
      <c r="AH193" s="159" t="str">
        <f t="shared" si="90"/>
        <v>Cost-saving</v>
      </c>
      <c r="AI193" s="198">
        <f t="shared" si="91"/>
        <v>-6.5580323862257686</v>
      </c>
      <c r="AJ193" s="198">
        <f t="shared" si="107"/>
        <v>0.75</v>
      </c>
      <c r="AK193" s="159" t="str">
        <f t="shared" si="92"/>
        <v>Cost-saving</v>
      </c>
      <c r="AL193" s="198">
        <f t="shared" si="108"/>
        <v>0.45</v>
      </c>
      <c r="AM193" s="162" t="str">
        <f t="shared" si="93"/>
        <v>Cost-saving</v>
      </c>
      <c r="AN193" s="198">
        <f t="shared" si="109"/>
        <v>0.56444312933505247</v>
      </c>
      <c r="AO193" s="159" t="str">
        <f t="shared" si="94"/>
        <v>Cost-saving</v>
      </c>
      <c r="AP193" s="198">
        <f t="shared" si="110"/>
        <v>0.31731694657870113</v>
      </c>
      <c r="AQ193" s="159" t="str">
        <f t="shared" si="95"/>
        <v>Cost-saving</v>
      </c>
      <c r="AR193" s="198">
        <f t="shared" si="111"/>
        <v>0.6686887394303227</v>
      </c>
      <c r="AS193" s="159" t="str">
        <f t="shared" si="96"/>
        <v>Cost-saving</v>
      </c>
      <c r="AT193" s="198">
        <f t="shared" si="112"/>
        <v>0.2771843839443679</v>
      </c>
      <c r="AU193" s="159" t="str">
        <f t="shared" si="97"/>
        <v>Cost-saving</v>
      </c>
      <c r="AV193" s="162" t="s">
        <v>173</v>
      </c>
      <c r="AW193" s="162" t="s">
        <v>1995</v>
      </c>
      <c r="AX193" s="168">
        <f t="shared" si="98"/>
        <v>0</v>
      </c>
      <c r="AY193" s="168">
        <f t="shared" si="99"/>
        <v>0</v>
      </c>
      <c r="AZ193" s="163">
        <f t="shared" si="100"/>
        <v>0</v>
      </c>
      <c r="BA193" s="163">
        <f t="shared" si="101"/>
        <v>0</v>
      </c>
      <c r="BB193" s="163">
        <f t="shared" si="102"/>
        <v>0</v>
      </c>
      <c r="BC193" s="163">
        <f t="shared" si="103"/>
        <v>0</v>
      </c>
      <c r="BD193" s="163">
        <f t="shared" si="104"/>
        <v>0</v>
      </c>
      <c r="BE193" s="163" t="s">
        <v>157</v>
      </c>
      <c r="BF193" s="162" t="s">
        <v>1425</v>
      </c>
    </row>
    <row r="194" spans="1:58">
      <c r="A194" s="159">
        <f t="shared" si="113"/>
        <v>56</v>
      </c>
      <c r="B194" s="159">
        <f t="shared" si="114"/>
        <v>3</v>
      </c>
      <c r="C194" s="190" t="str">
        <f t="shared" ref="C194:C197" si="116">_xlfn.CONCAT(TEXT(A194,"00"),TEXT(B194,"00"))</f>
        <v>5603</v>
      </c>
      <c r="D194" s="159" t="s">
        <v>631</v>
      </c>
      <c r="E194" s="163">
        <v>2020</v>
      </c>
      <c r="F194" s="162" t="s">
        <v>1977</v>
      </c>
      <c r="G194" s="162" t="s">
        <v>214</v>
      </c>
      <c r="H194" s="163" t="str">
        <f t="shared" ref="H194:H197" si="117">VLOOKUP(G194,income,R194-1985,FALSE)</f>
        <v>UM</v>
      </c>
      <c r="I194" s="163" t="s">
        <v>148</v>
      </c>
      <c r="J194" s="162" t="s">
        <v>186</v>
      </c>
      <c r="K194" s="162" t="s">
        <v>183</v>
      </c>
      <c r="L194" s="162" t="s">
        <v>371</v>
      </c>
      <c r="M194" s="162" t="s">
        <v>2013</v>
      </c>
      <c r="N194" s="163" t="s">
        <v>157</v>
      </c>
      <c r="O194" s="162" t="s">
        <v>1979</v>
      </c>
      <c r="P194" s="162" t="s">
        <v>154</v>
      </c>
      <c r="Q194" s="162" t="s">
        <v>155</v>
      </c>
      <c r="R194" s="163">
        <v>2018</v>
      </c>
      <c r="V194" s="194"/>
      <c r="W194" s="163" t="s">
        <v>148</v>
      </c>
      <c r="X194" s="163" t="s">
        <v>157</v>
      </c>
      <c r="Y194" s="163" t="s">
        <v>148</v>
      </c>
      <c r="Z194" s="163" t="s">
        <v>148</v>
      </c>
      <c r="AA194" s="163" t="s">
        <v>148</v>
      </c>
      <c r="AB194" s="163" t="s">
        <v>159</v>
      </c>
      <c r="AC194" s="196">
        <f>-60501015/2280</f>
        <v>-26535.532894736843</v>
      </c>
      <c r="AD194" s="196">
        <f t="shared" si="115"/>
        <v>-26535.532894736843</v>
      </c>
      <c r="AE194" s="192" t="str">
        <f t="shared" si="88"/>
        <v>Yes</v>
      </c>
      <c r="AF194" s="196">
        <f t="shared" si="106"/>
        <v>11380.08209</v>
      </c>
      <c r="AG194" s="159" t="str">
        <f t="shared" si="89"/>
        <v>Cost-saving</v>
      </c>
      <c r="AH194" s="159" t="str">
        <f t="shared" si="90"/>
        <v>Cost-saving</v>
      </c>
      <c r="AI194" s="198">
        <f t="shared" si="91"/>
        <v>-2.3317523269937013</v>
      </c>
      <c r="AJ194" s="198">
        <f t="shared" si="107"/>
        <v>0.75</v>
      </c>
      <c r="AK194" s="159" t="str">
        <f t="shared" si="92"/>
        <v>Cost-saving</v>
      </c>
      <c r="AL194" s="198">
        <f t="shared" si="108"/>
        <v>0.45</v>
      </c>
      <c r="AM194" s="162" t="str">
        <f t="shared" si="93"/>
        <v>Cost-saving</v>
      </c>
      <c r="AN194" s="198">
        <f t="shared" si="109"/>
        <v>0.56444312933505247</v>
      </c>
      <c r="AO194" s="159" t="str">
        <f t="shared" si="94"/>
        <v>Cost-saving</v>
      </c>
      <c r="AP194" s="198">
        <f t="shared" si="110"/>
        <v>0.31731694657870113</v>
      </c>
      <c r="AQ194" s="159" t="str">
        <f t="shared" si="95"/>
        <v>Cost-saving</v>
      </c>
      <c r="AR194" s="198">
        <f t="shared" si="111"/>
        <v>0.6686887394303227</v>
      </c>
      <c r="AS194" s="159" t="str">
        <f t="shared" si="96"/>
        <v>Cost-saving</v>
      </c>
      <c r="AT194" s="198">
        <f t="shared" si="112"/>
        <v>0.2771843839443679</v>
      </c>
      <c r="AU194" s="159" t="str">
        <f t="shared" si="97"/>
        <v>Cost-saving</v>
      </c>
      <c r="AV194" s="162" t="s">
        <v>173</v>
      </c>
      <c r="AW194" s="162" t="s">
        <v>1995</v>
      </c>
      <c r="AX194" s="168">
        <f t="shared" si="98"/>
        <v>0</v>
      </c>
      <c r="AY194" s="168">
        <f t="shared" si="99"/>
        <v>0</v>
      </c>
      <c r="AZ194" s="163">
        <f t="shared" si="100"/>
        <v>0</v>
      </c>
      <c r="BA194" s="163">
        <f t="shared" si="101"/>
        <v>0</v>
      </c>
      <c r="BB194" s="163">
        <f t="shared" si="102"/>
        <v>0</v>
      </c>
      <c r="BC194" s="163">
        <f t="shared" si="103"/>
        <v>0</v>
      </c>
      <c r="BD194" s="163">
        <f t="shared" si="104"/>
        <v>0</v>
      </c>
      <c r="BE194" s="163" t="s">
        <v>157</v>
      </c>
      <c r="BF194" s="162" t="s">
        <v>1425</v>
      </c>
    </row>
    <row r="195" spans="1:58">
      <c r="A195" s="159">
        <f t="shared" si="113"/>
        <v>56</v>
      </c>
      <c r="B195" s="159">
        <f t="shared" si="114"/>
        <v>4</v>
      </c>
      <c r="C195" s="190" t="str">
        <f t="shared" si="116"/>
        <v>5604</v>
      </c>
      <c r="D195" s="159" t="s">
        <v>631</v>
      </c>
      <c r="E195" s="163">
        <v>2020</v>
      </c>
      <c r="F195" s="162" t="s">
        <v>1977</v>
      </c>
      <c r="G195" s="162" t="s">
        <v>214</v>
      </c>
      <c r="H195" s="163" t="str">
        <f t="shared" si="117"/>
        <v>UM</v>
      </c>
      <c r="I195" s="163" t="s">
        <v>148</v>
      </c>
      <c r="J195" s="162" t="s">
        <v>186</v>
      </c>
      <c r="K195" s="162" t="s">
        <v>183</v>
      </c>
      <c r="L195" s="162" t="s">
        <v>371</v>
      </c>
      <c r="M195" s="162" t="s">
        <v>2013</v>
      </c>
      <c r="N195" s="163" t="s">
        <v>157</v>
      </c>
      <c r="O195" s="162" t="s">
        <v>153</v>
      </c>
      <c r="P195" s="162" t="s">
        <v>154</v>
      </c>
      <c r="Q195" s="162" t="s">
        <v>155</v>
      </c>
      <c r="R195" s="163">
        <v>2018</v>
      </c>
      <c r="V195" s="194"/>
      <c r="W195" s="163" t="s">
        <v>148</v>
      </c>
      <c r="X195" s="163" t="s">
        <v>157</v>
      </c>
      <c r="Y195" s="163" t="s">
        <v>148</v>
      </c>
      <c r="Z195" s="163" t="s">
        <v>148</v>
      </c>
      <c r="AA195" s="163" t="s">
        <v>148</v>
      </c>
      <c r="AB195" s="163" t="s">
        <v>159</v>
      </c>
      <c r="AC195" s="196">
        <f>-198277289/2739</f>
        <v>-72390.393939393936</v>
      </c>
      <c r="AD195" s="196">
        <f t="shared" si="115"/>
        <v>-72390.393939393936</v>
      </c>
      <c r="AE195" s="192" t="str">
        <f t="shared" ref="AE195:AE197" si="118">IF(AD195&lt;0, "Yes", "No")</f>
        <v>Yes</v>
      </c>
      <c r="AF195" s="196">
        <f t="shared" si="106"/>
        <v>11380.08209</v>
      </c>
      <c r="AG195" s="159" t="str">
        <f t="shared" ref="AG195:AG197" si="119">IF(AD195="NA", ".", IF(AD195&lt;0,"Cost-saving",IF(AD195&lt;=AF195,"Cost-effective",IF(AD195&gt;AF195&amp;AD195&lt;&gt;"NA","Not cost-effective","Missing"))))</f>
        <v>Cost-saving</v>
      </c>
      <c r="AH195" s="159" t="str">
        <f t="shared" ref="AH195:AH197" si="120">IF(AD195="NA", ".", IF(AD195&lt;0,"Cost-saving",IF(AD195&lt;=AF195*3,"Cost-effective",IF(AD195&gt;AF195*3&amp;AD195&lt;&gt;"NA","Not cost-effective","Missing"))))</f>
        <v>Cost-saving</v>
      </c>
      <c r="AI195" s="198">
        <f t="shared" ref="AI195:AI197" si="121">IFERROR(AD195/AF195,"")</f>
        <v>-6.3611486601669966</v>
      </c>
      <c r="AJ195" s="198">
        <f t="shared" si="107"/>
        <v>0.75</v>
      </c>
      <c r="AK195" s="159" t="str">
        <f t="shared" ref="AK195:AK197" si="122">IF(AI195&lt;0,"Cost-saving", IF(AJ195=".", ".", IF(AI195&lt;AJ195, "Cost-effective", "Not cost-effective")))</f>
        <v>Cost-saving</v>
      </c>
      <c r="AL195" s="198">
        <f t="shared" si="108"/>
        <v>0.45</v>
      </c>
      <c r="AM195" s="162" t="str">
        <f t="shared" ref="AM195:AM197" si="123">IF(AI195&lt;0,"Cost-saving", IF(AL195=".", ".", IF(AI195&lt;AL195, "Cost-effective", "Not cost-effective")))</f>
        <v>Cost-saving</v>
      </c>
      <c r="AN195" s="198">
        <f t="shared" si="109"/>
        <v>0.56444312933505247</v>
      </c>
      <c r="AO195" s="159" t="str">
        <f t="shared" ref="AO195:AO197" si="124">IF(AI195&lt;0,"Cost-saving", IF(AN195=".", ".", IF(AI195&lt;AN195, "Cost-effective", "Not cost-effective")))</f>
        <v>Cost-saving</v>
      </c>
      <c r="AP195" s="198">
        <f t="shared" si="110"/>
        <v>0.31731694657870113</v>
      </c>
      <c r="AQ195" s="159" t="str">
        <f t="shared" ref="AQ195:AQ197" si="125">IF(AI195&lt;0,"Cost-saving", IF(AP195=".", ".", IF(AI195&lt;AP195, "Cost-effective", "Not cost-effective")))</f>
        <v>Cost-saving</v>
      </c>
      <c r="AR195" s="198">
        <f t="shared" si="111"/>
        <v>0.6686887394303227</v>
      </c>
      <c r="AS195" s="159" t="str">
        <f t="shared" ref="AS195:AS197" si="126">IF(AI195&lt;0,"Cost-saving", IF(AR195=".", ".", IF(AI195&lt;AR195, "Cost-effective", "Not cost-effective")))</f>
        <v>Cost-saving</v>
      </c>
      <c r="AT195" s="198">
        <f t="shared" si="112"/>
        <v>0.2771843839443679</v>
      </c>
      <c r="AU195" s="159" t="str">
        <f t="shared" ref="AU195:AU197" si="127">IF(AI195&lt;0,"Cost-saving", IF(AT195=".", ".", IF(AI195&lt;AT195, "Cost-effective", "Not cost-effective")))</f>
        <v>Cost-saving</v>
      </c>
      <c r="AV195" s="162" t="s">
        <v>173</v>
      </c>
      <c r="AW195" s="162" t="s">
        <v>1995</v>
      </c>
      <c r="AX195" s="168">
        <f t="shared" ref="AX195:AX197" si="128">IF(AW195="Cost-Effective",IF(AK195="Not Cost-Effective",1,0),"")</f>
        <v>0</v>
      </c>
      <c r="AY195" s="168">
        <f t="shared" ref="AY195:AY197" si="129">IF(AW195="Cost-Effective",IF(AM195="Not Cost-Effective",1,0),"")</f>
        <v>0</v>
      </c>
      <c r="AZ195" s="163">
        <f t="shared" ref="AZ195:AZ197" si="130">IF(AW195="Cost-Effective",IF(AO195="Not Cost-Effective",1,0),"")</f>
        <v>0</v>
      </c>
      <c r="BA195" s="163">
        <f t="shared" ref="BA195:BA197" si="131">IF(AW195="Cost-Effective",IF(AQ195="Not Cost-Effective",1,0),"")</f>
        <v>0</v>
      </c>
      <c r="BB195" s="163">
        <f t="shared" ref="BB195:BB197" si="132">IF(AW195="Cost-Effective",IF(AS195="Not Cost-Effective",1,0),"")</f>
        <v>0</v>
      </c>
      <c r="BC195" s="163">
        <f t="shared" ref="BC195:BC197" si="133">IF(AW195="Cost-Effective",IF(AU195="Not Cost-Effective",1,0),"")</f>
        <v>0</v>
      </c>
      <c r="BD195" s="163">
        <f t="shared" ref="BD195:BD197" si="134">SUM(AX195:BC195)</f>
        <v>0</v>
      </c>
      <c r="BE195" s="163" t="s">
        <v>157</v>
      </c>
      <c r="BF195" s="162" t="s">
        <v>1425</v>
      </c>
    </row>
    <row r="196" spans="1:58">
      <c r="A196" s="159">
        <f t="shared" si="113"/>
        <v>56</v>
      </c>
      <c r="B196" s="159">
        <f t="shared" si="114"/>
        <v>5</v>
      </c>
      <c r="C196" s="190" t="str">
        <f t="shared" si="116"/>
        <v>5605</v>
      </c>
      <c r="D196" s="159" t="s">
        <v>631</v>
      </c>
      <c r="E196" s="163">
        <v>2020</v>
      </c>
      <c r="F196" s="162" t="s">
        <v>1977</v>
      </c>
      <c r="G196" s="162" t="s">
        <v>214</v>
      </c>
      <c r="H196" s="163" t="str">
        <f t="shared" si="117"/>
        <v>UM</v>
      </c>
      <c r="I196" s="163" t="s">
        <v>148</v>
      </c>
      <c r="J196" s="162" t="s">
        <v>186</v>
      </c>
      <c r="K196" s="162" t="s">
        <v>183</v>
      </c>
      <c r="L196" s="162" t="s">
        <v>371</v>
      </c>
      <c r="M196" s="162" t="s">
        <v>2013</v>
      </c>
      <c r="N196" s="163" t="s">
        <v>157</v>
      </c>
      <c r="O196" s="162" t="s">
        <v>153</v>
      </c>
      <c r="P196" s="162" t="s">
        <v>154</v>
      </c>
      <c r="Q196" s="162" t="s">
        <v>155</v>
      </c>
      <c r="R196" s="163">
        <v>2018</v>
      </c>
      <c r="V196" s="194"/>
      <c r="W196" s="163" t="s">
        <v>148</v>
      </c>
      <c r="X196" s="163" t="s">
        <v>157</v>
      </c>
      <c r="Y196" s="163" t="s">
        <v>148</v>
      </c>
      <c r="Z196" s="163" t="s">
        <v>148</v>
      </c>
      <c r="AA196" s="163" t="s">
        <v>148</v>
      </c>
      <c r="AB196" s="163" t="s">
        <v>159</v>
      </c>
      <c r="AC196" s="196">
        <f>-173261339/2560</f>
        <v>-67680.210546874994</v>
      </c>
      <c r="AD196" s="196">
        <f t="shared" si="115"/>
        <v>-67680.210546874994</v>
      </c>
      <c r="AE196" s="192" t="str">
        <f t="shared" si="118"/>
        <v>Yes</v>
      </c>
      <c r="AF196" s="196">
        <f t="shared" si="106"/>
        <v>11380.08209</v>
      </c>
      <c r="AG196" s="159" t="str">
        <f t="shared" si="119"/>
        <v>Cost-saving</v>
      </c>
      <c r="AH196" s="159" t="str">
        <f t="shared" si="120"/>
        <v>Cost-saving</v>
      </c>
      <c r="AI196" s="198">
        <f t="shared" si="121"/>
        <v>-5.9472515234619889</v>
      </c>
      <c r="AJ196" s="198">
        <f t="shared" si="107"/>
        <v>0.75</v>
      </c>
      <c r="AK196" s="159" t="str">
        <f t="shared" si="122"/>
        <v>Cost-saving</v>
      </c>
      <c r="AL196" s="198">
        <f t="shared" si="108"/>
        <v>0.45</v>
      </c>
      <c r="AM196" s="162" t="str">
        <f t="shared" si="123"/>
        <v>Cost-saving</v>
      </c>
      <c r="AN196" s="198">
        <f t="shared" si="109"/>
        <v>0.56444312933505247</v>
      </c>
      <c r="AO196" s="159" t="str">
        <f t="shared" si="124"/>
        <v>Cost-saving</v>
      </c>
      <c r="AP196" s="198">
        <f t="shared" si="110"/>
        <v>0.31731694657870113</v>
      </c>
      <c r="AQ196" s="159" t="str">
        <f t="shared" si="125"/>
        <v>Cost-saving</v>
      </c>
      <c r="AR196" s="198">
        <f t="shared" si="111"/>
        <v>0.6686887394303227</v>
      </c>
      <c r="AS196" s="159" t="str">
        <f t="shared" si="126"/>
        <v>Cost-saving</v>
      </c>
      <c r="AT196" s="198">
        <f t="shared" si="112"/>
        <v>0.2771843839443679</v>
      </c>
      <c r="AU196" s="159" t="str">
        <f t="shared" si="127"/>
        <v>Cost-saving</v>
      </c>
      <c r="AV196" s="162" t="s">
        <v>173</v>
      </c>
      <c r="AW196" s="162" t="s">
        <v>1995</v>
      </c>
      <c r="AX196" s="168">
        <f t="shared" si="128"/>
        <v>0</v>
      </c>
      <c r="AY196" s="168">
        <f t="shared" si="129"/>
        <v>0</v>
      </c>
      <c r="AZ196" s="163">
        <f t="shared" si="130"/>
        <v>0</v>
      </c>
      <c r="BA196" s="163">
        <f t="shared" si="131"/>
        <v>0</v>
      </c>
      <c r="BB196" s="163">
        <f t="shared" si="132"/>
        <v>0</v>
      </c>
      <c r="BC196" s="163">
        <f t="shared" si="133"/>
        <v>0</v>
      </c>
      <c r="BD196" s="163">
        <f t="shared" si="134"/>
        <v>0</v>
      </c>
      <c r="BE196" s="163" t="s">
        <v>157</v>
      </c>
      <c r="BF196" s="162" t="s">
        <v>1425</v>
      </c>
    </row>
    <row r="197" spans="1:58">
      <c r="A197" s="159">
        <f t="shared" si="113"/>
        <v>57</v>
      </c>
      <c r="B197" s="159">
        <f t="shared" si="114"/>
        <v>1</v>
      </c>
      <c r="C197" s="190" t="str">
        <f t="shared" si="116"/>
        <v>5701</v>
      </c>
      <c r="D197" s="159" t="s">
        <v>643</v>
      </c>
      <c r="E197" s="163">
        <v>2019</v>
      </c>
      <c r="F197" s="162" t="s">
        <v>1978</v>
      </c>
      <c r="G197" s="162" t="s">
        <v>537</v>
      </c>
      <c r="H197" s="163" t="str">
        <f t="shared" si="117"/>
        <v>UM</v>
      </c>
      <c r="I197" s="163" t="s">
        <v>157</v>
      </c>
      <c r="J197" s="162" t="s">
        <v>186</v>
      </c>
      <c r="K197" s="162" t="s">
        <v>183</v>
      </c>
      <c r="L197" s="162" t="s">
        <v>371</v>
      </c>
      <c r="M197" s="162" t="s">
        <v>2013</v>
      </c>
      <c r="N197" s="163" t="s">
        <v>148</v>
      </c>
      <c r="O197" s="162" t="s">
        <v>1979</v>
      </c>
      <c r="P197" s="162" t="s">
        <v>154</v>
      </c>
      <c r="Q197" s="162" t="s">
        <v>155</v>
      </c>
      <c r="R197" s="163">
        <v>2018</v>
      </c>
      <c r="S197" s="194">
        <v>12.85</v>
      </c>
      <c r="T197" s="194">
        <f>IF(ISNUMBER(S197),S197/VLOOKUP($Q197,xRates!$A$1:$AA$267,studies!$R197-xRates!$B$1+2,FALSE),S197)</f>
        <v>12.85</v>
      </c>
      <c r="U197" s="163">
        <v>14.5</v>
      </c>
      <c r="V197" s="194">
        <v>14.5</v>
      </c>
      <c r="W197" s="163" t="s">
        <v>148</v>
      </c>
      <c r="X197" s="163" t="s">
        <v>148</v>
      </c>
      <c r="Y197" s="163" t="s">
        <v>148</v>
      </c>
      <c r="Z197" s="163" t="s">
        <v>148</v>
      </c>
      <c r="AA197" s="163" t="s">
        <v>148</v>
      </c>
      <c r="AB197" s="163" t="s">
        <v>159</v>
      </c>
      <c r="AC197" s="196">
        <f>-6710744176/1307</f>
        <v>-5134463.791889824</v>
      </c>
      <c r="AD197" s="196">
        <f>AC197/xRates!X129</f>
        <v>-266803.81593844155</v>
      </c>
      <c r="AE197" s="192" t="str">
        <f t="shared" si="118"/>
        <v>Yes</v>
      </c>
      <c r="AF197" s="196">
        <f t="shared" si="106"/>
        <v>9686.9849269999995</v>
      </c>
      <c r="AG197" s="159" t="str">
        <f t="shared" si="119"/>
        <v>Cost-saving</v>
      </c>
      <c r="AH197" s="159" t="str">
        <f t="shared" si="120"/>
        <v>Cost-saving</v>
      </c>
      <c r="AI197" s="198">
        <f t="shared" si="121"/>
        <v>-27.542503467182442</v>
      </c>
      <c r="AJ197" s="198">
        <f t="shared" si="107"/>
        <v>0.97</v>
      </c>
      <c r="AK197" s="159" t="str">
        <f t="shared" si="122"/>
        <v>Cost-saving</v>
      </c>
      <c r="AL197" s="198">
        <f t="shared" si="108"/>
        <v>0.64</v>
      </c>
      <c r="AM197" s="162" t="str">
        <f t="shared" si="123"/>
        <v>Cost-saving</v>
      </c>
      <c r="AN197" s="198">
        <f t="shared" si="109"/>
        <v>0.6292666176774443</v>
      </c>
      <c r="AO197" s="159" t="str">
        <f t="shared" si="124"/>
        <v>Cost-saving</v>
      </c>
      <c r="AP197" s="198">
        <f t="shared" si="110"/>
        <v>0.22470477827865473</v>
      </c>
      <c r="AQ197" s="159" t="str">
        <f t="shared" si="125"/>
        <v>Cost-saving</v>
      </c>
      <c r="AR197" s="198">
        <f t="shared" si="111"/>
        <v>0.92216934171082232</v>
      </c>
      <c r="AS197" s="159" t="str">
        <f t="shared" si="126"/>
        <v>Cost-saving</v>
      </c>
      <c r="AT197" s="198">
        <f t="shared" si="112"/>
        <v>0.38219376705822333</v>
      </c>
      <c r="AU197" s="159" t="str">
        <f t="shared" si="127"/>
        <v>Cost-saving</v>
      </c>
      <c r="AW197" s="162" t="s">
        <v>1994</v>
      </c>
      <c r="AX197" s="168" t="str">
        <f t="shared" si="128"/>
        <v/>
      </c>
      <c r="AY197" s="168" t="str">
        <f t="shared" si="129"/>
        <v/>
      </c>
      <c r="AZ197" s="163" t="str">
        <f t="shared" si="130"/>
        <v/>
      </c>
      <c r="BA197" s="163" t="str">
        <f t="shared" si="131"/>
        <v/>
      </c>
      <c r="BB197" s="163" t="str">
        <f t="shared" si="132"/>
        <v/>
      </c>
      <c r="BC197" s="163" t="str">
        <f t="shared" si="133"/>
        <v/>
      </c>
      <c r="BD197" s="163">
        <f t="shared" si="134"/>
        <v>0</v>
      </c>
      <c r="BE197" s="163" t="s">
        <v>157</v>
      </c>
      <c r="BF197" s="162" t="s">
        <v>1425</v>
      </c>
    </row>
  </sheetData>
  <autoFilter ref="A1:BF197" xr:uid="{82DB12F5-8E0D-0045-A587-D04E16F26C8F}"/>
  <pageMargins left="0.7" right="0.7" top="0.75" bottom="0.75" header="0.3" footer="0.3"/>
  <pageSetup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23DF-7EEB-4A10-8E63-6E12F5A80993}">
  <sheetPr codeName="Sheet2"/>
  <dimension ref="A1:BR197"/>
  <sheetViews>
    <sheetView zoomScale="190" zoomScaleNormal="190" workbookViewId="0">
      <pane ySplit="1" topLeftCell="A2" activePane="bottomLeft" state="frozen"/>
      <selection pane="bottomLeft" activeCell="B2" sqref="B2:B197"/>
    </sheetView>
  </sheetViews>
  <sheetFormatPr baseColWidth="10" defaultColWidth="9.1640625" defaultRowHeight="14"/>
  <cols>
    <col min="1" max="1" width="6.33203125" style="159" bestFit="1" customWidth="1"/>
    <col min="2" max="2" width="5" style="159" bestFit="1" customWidth="1"/>
    <col min="3" max="3" width="7" style="159" bestFit="1" customWidth="1"/>
    <col min="4" max="4" width="13.33203125" style="159" bestFit="1" customWidth="1"/>
    <col min="5" max="5" width="6.6640625" style="159" bestFit="1" customWidth="1"/>
    <col min="6" max="6" width="18" style="162" customWidth="1"/>
    <col min="7" max="7" width="12" style="162" bestFit="1" customWidth="1"/>
    <col min="8" max="8" width="6" style="163" bestFit="1" customWidth="1"/>
    <col min="9" max="9" width="10.33203125" style="163" bestFit="1" customWidth="1"/>
    <col min="10" max="10" width="35.33203125" style="162" bestFit="1" customWidth="1"/>
    <col min="11" max="11" width="10.83203125" style="163" bestFit="1" customWidth="1"/>
    <col min="12" max="12" width="10.5" style="163" bestFit="1" customWidth="1"/>
    <col min="13" max="13" width="11.83203125" style="163" bestFit="1" customWidth="1"/>
    <col min="14" max="14" width="11" style="159" bestFit="1" customWidth="1"/>
    <col min="15" max="15" width="8.83203125" style="159" bestFit="1" customWidth="1"/>
    <col min="16" max="16" width="9.33203125" style="162" bestFit="1" customWidth="1"/>
    <col min="17" max="17" width="14.5" style="159" bestFit="1" customWidth="1"/>
    <col min="18" max="18" width="14" style="159" bestFit="1" customWidth="1"/>
    <col min="19" max="19" width="14.83203125" style="159" bestFit="1" customWidth="1"/>
    <col min="20" max="20" width="12.33203125" style="159" bestFit="1" customWidth="1"/>
    <col min="21" max="21" width="18.33203125" style="159" bestFit="1" customWidth="1"/>
    <col min="22" max="22" width="22" style="159" bestFit="1" customWidth="1"/>
    <col min="23" max="23" width="52.83203125" style="162" bestFit="1" customWidth="1"/>
    <col min="24" max="24" width="18.1640625" style="159" bestFit="1" customWidth="1"/>
    <col min="25" max="25" width="21.83203125" style="159" bestFit="1" customWidth="1"/>
    <col min="26" max="26" width="52.83203125" style="162" bestFit="1" customWidth="1"/>
    <col min="27" max="27" width="10.5" style="163" bestFit="1" customWidth="1"/>
    <col min="28" max="28" width="89.5" style="185" bestFit="1" customWidth="1"/>
    <col min="29" max="29" width="14" style="162" bestFit="1" customWidth="1"/>
    <col min="30" max="30" width="11.5" style="163" bestFit="1" customWidth="1"/>
    <col min="31" max="31" width="42.5" style="185" bestFit="1" customWidth="1"/>
    <col min="32" max="32" width="17" style="163" bestFit="1" customWidth="1"/>
    <col min="33" max="33" width="10.5" style="163" bestFit="1" customWidth="1"/>
    <col min="34" max="34" width="12" style="163" bestFit="1" customWidth="1"/>
    <col min="35" max="35" width="29.6640625" style="163" bestFit="1" customWidth="1"/>
    <col min="36" max="36" width="72" style="185" bestFit="1" customWidth="1"/>
    <col min="37" max="37" width="39.1640625" style="162" bestFit="1" customWidth="1"/>
    <col min="38" max="38" width="12" style="163" bestFit="1" customWidth="1"/>
    <col min="39" max="39" width="11.1640625" style="186" bestFit="1" customWidth="1"/>
    <col min="40" max="40" width="10.1640625" style="186" bestFit="1" customWidth="1"/>
    <col min="41" max="41" width="8.6640625" style="186" bestFit="1" customWidth="1"/>
    <col min="42" max="42" width="17" style="163" bestFit="1" customWidth="1"/>
    <col min="43" max="43" width="18.1640625" style="163" bestFit="1" customWidth="1"/>
    <col min="44" max="44" width="13" style="163" bestFit="1" customWidth="1"/>
    <col min="45" max="45" width="11.33203125" style="163" bestFit="1" customWidth="1"/>
    <col min="46" max="46" width="18.6640625" style="187" bestFit="1" customWidth="1"/>
    <col min="47" max="47" width="11" style="163" bestFit="1" customWidth="1"/>
    <col min="48" max="48" width="18.33203125" style="188" bestFit="1" customWidth="1"/>
    <col min="49" max="49" width="10.1640625" style="163" bestFit="1" customWidth="1"/>
    <col min="50" max="50" width="17.5" style="159" bestFit="1" customWidth="1"/>
    <col min="51" max="51" width="9.83203125" style="163" bestFit="1" customWidth="1"/>
    <col min="52" max="52" width="17.1640625" style="159" bestFit="1" customWidth="1"/>
    <col min="53" max="53" width="10.1640625" style="163" bestFit="1" customWidth="1"/>
    <col min="54" max="54" width="17.5" style="159" bestFit="1" customWidth="1"/>
    <col min="55" max="55" width="9.83203125" style="163" bestFit="1" customWidth="1"/>
    <col min="56" max="56" width="17.1640625" style="159" bestFit="1" customWidth="1"/>
    <col min="57" max="57" width="14.6640625" style="162" bestFit="1" customWidth="1"/>
    <col min="58" max="58" width="21.1640625" style="162" bestFit="1" customWidth="1"/>
    <col min="59" max="59" width="16.83203125" style="189" bestFit="1" customWidth="1"/>
    <col min="60" max="60" width="17.1640625" style="189" bestFit="1" customWidth="1"/>
    <col min="61" max="61" width="15.33203125" style="163" bestFit="1" customWidth="1"/>
    <col min="62" max="63" width="15.6640625" style="163" bestFit="1" customWidth="1"/>
    <col min="64" max="64" width="16" style="163" bestFit="1" customWidth="1"/>
    <col min="65" max="65" width="9.1640625" style="163" bestFit="1" customWidth="1"/>
    <col min="66" max="66" width="12.1640625" style="163" bestFit="1" customWidth="1"/>
    <col min="67" max="67" width="95.83203125" style="162" bestFit="1" customWidth="1"/>
    <col min="68" max="68" width="120.5" style="162" bestFit="1" customWidth="1"/>
    <col min="69" max="69" width="10.6640625" style="162" bestFit="1" customWidth="1"/>
    <col min="70" max="70" width="115.83203125" style="162" bestFit="1" customWidth="1"/>
    <col min="71" max="16384" width="9.1640625" style="162"/>
  </cols>
  <sheetData>
    <row r="1" spans="1:70" s="156" customFormat="1" ht="13">
      <c r="A1" s="155" t="s">
        <v>85</v>
      </c>
      <c r="B1" s="155" t="s">
        <v>86</v>
      </c>
      <c r="C1" s="155" t="s">
        <v>87</v>
      </c>
      <c r="D1" s="155" t="s">
        <v>88</v>
      </c>
      <c r="E1" s="155" t="s">
        <v>89</v>
      </c>
      <c r="F1" s="156" t="s">
        <v>90</v>
      </c>
      <c r="G1" s="156" t="s">
        <v>91</v>
      </c>
      <c r="H1" s="157" t="s">
        <v>92</v>
      </c>
      <c r="I1" s="157" t="s">
        <v>93</v>
      </c>
      <c r="J1" s="156" t="s">
        <v>94</v>
      </c>
      <c r="K1" s="157" t="s">
        <v>95</v>
      </c>
      <c r="L1" s="157" t="s">
        <v>96</v>
      </c>
      <c r="M1" s="157" t="s">
        <v>1921</v>
      </c>
      <c r="N1" s="155" t="s">
        <v>97</v>
      </c>
      <c r="O1" s="155" t="s">
        <v>98</v>
      </c>
      <c r="P1" s="156" t="s">
        <v>99</v>
      </c>
      <c r="Q1" s="156" t="s">
        <v>100</v>
      </c>
      <c r="R1" s="156" t="s">
        <v>101</v>
      </c>
      <c r="S1" s="156" t="s">
        <v>102</v>
      </c>
      <c r="T1" s="155" t="s">
        <v>103</v>
      </c>
      <c r="U1" s="155" t="s">
        <v>104</v>
      </c>
      <c r="V1" s="155" t="s">
        <v>105</v>
      </c>
      <c r="W1" s="156" t="s">
        <v>106</v>
      </c>
      <c r="X1" s="155" t="s">
        <v>107</v>
      </c>
      <c r="Y1" s="155" t="s">
        <v>108</v>
      </c>
      <c r="Z1" s="156" t="s">
        <v>109</v>
      </c>
      <c r="AA1" s="157" t="s">
        <v>110</v>
      </c>
      <c r="AB1" s="156" t="s">
        <v>111</v>
      </c>
      <c r="AC1" s="156" t="s">
        <v>112</v>
      </c>
      <c r="AD1" s="157" t="s">
        <v>113</v>
      </c>
      <c r="AE1" s="156" t="s">
        <v>114</v>
      </c>
      <c r="AF1" s="157" t="s">
        <v>115</v>
      </c>
      <c r="AG1" s="157" t="s">
        <v>116</v>
      </c>
      <c r="AH1" s="157" t="s">
        <v>117</v>
      </c>
      <c r="AI1" s="157" t="s">
        <v>118</v>
      </c>
      <c r="AJ1" s="156" t="s">
        <v>119</v>
      </c>
      <c r="AK1" s="156" t="s">
        <v>120</v>
      </c>
      <c r="AL1" s="157" t="s">
        <v>121</v>
      </c>
      <c r="AM1" s="157" t="s">
        <v>122</v>
      </c>
      <c r="AN1" s="157" t="s">
        <v>123</v>
      </c>
      <c r="AO1" s="157" t="s">
        <v>1920</v>
      </c>
      <c r="AP1" s="157" t="s">
        <v>124</v>
      </c>
      <c r="AQ1" s="157" t="s">
        <v>125</v>
      </c>
      <c r="AR1" s="158" t="s">
        <v>126</v>
      </c>
      <c r="AS1" s="158" t="s">
        <v>127</v>
      </c>
      <c r="AT1" s="155" t="s">
        <v>128</v>
      </c>
      <c r="AU1" s="158" t="s">
        <v>129</v>
      </c>
      <c r="AV1" s="156" t="s">
        <v>130</v>
      </c>
      <c r="AW1" s="158" t="s">
        <v>131</v>
      </c>
      <c r="AX1" s="155" t="s">
        <v>132</v>
      </c>
      <c r="AY1" s="158" t="s">
        <v>133</v>
      </c>
      <c r="AZ1" s="155" t="s">
        <v>134</v>
      </c>
      <c r="BA1" s="158" t="s">
        <v>1913</v>
      </c>
      <c r="BB1" s="155" t="s">
        <v>1915</v>
      </c>
      <c r="BC1" s="158" t="s">
        <v>1914</v>
      </c>
      <c r="BD1" s="155" t="s">
        <v>1916</v>
      </c>
      <c r="BE1" s="156" t="s">
        <v>135</v>
      </c>
      <c r="BF1" s="156" t="s">
        <v>136</v>
      </c>
      <c r="BG1" s="157" t="s">
        <v>137</v>
      </c>
      <c r="BH1" s="157" t="s">
        <v>138</v>
      </c>
      <c r="BI1" s="157" t="s">
        <v>139</v>
      </c>
      <c r="BJ1" s="157" t="s">
        <v>140</v>
      </c>
      <c r="BK1" s="157" t="s">
        <v>1918</v>
      </c>
      <c r="BL1" s="157" t="s">
        <v>1919</v>
      </c>
      <c r="BM1" s="157" t="s">
        <v>141</v>
      </c>
      <c r="BN1" s="157" t="s">
        <v>142</v>
      </c>
      <c r="BO1" s="156" t="s">
        <v>143</v>
      </c>
      <c r="BP1" s="156" t="s">
        <v>1423</v>
      </c>
      <c r="BQ1" s="156" t="s">
        <v>1424</v>
      </c>
      <c r="BR1" s="156" t="s">
        <v>144</v>
      </c>
    </row>
    <row r="2" spans="1:70">
      <c r="A2" s="159">
        <v>1</v>
      </c>
      <c r="B2" s="159">
        <v>1</v>
      </c>
      <c r="C2" s="160" t="str">
        <f t="shared" ref="C2:C65" si="0">_xlfn.CONCAT(TEXT(A2,"00"),TEXT(B2,"00"))</f>
        <v>0101</v>
      </c>
      <c r="D2" s="159" t="s">
        <v>145</v>
      </c>
      <c r="E2" s="161">
        <v>2014</v>
      </c>
      <c r="F2" s="162" t="s">
        <v>146</v>
      </c>
      <c r="G2" s="162" t="s">
        <v>147</v>
      </c>
      <c r="H2" s="163" t="str">
        <f t="shared" ref="H2:H34" si="1">VLOOKUP(G2,income,T2-1985,FALSE)</f>
        <v>UM</v>
      </c>
      <c r="I2" s="163" t="s">
        <v>148</v>
      </c>
      <c r="J2" s="162" t="s">
        <v>149</v>
      </c>
      <c r="K2" s="163" t="s">
        <v>150</v>
      </c>
      <c r="L2" s="163" t="s">
        <v>151</v>
      </c>
      <c r="M2" s="163" t="str">
        <f>_xlfn.CONCAT(K2, " vs ", L2)</f>
        <v>PCV7 vs NoVax</v>
      </c>
      <c r="N2" s="159" t="s">
        <v>152</v>
      </c>
      <c r="O2" s="159">
        <v>3</v>
      </c>
      <c r="P2" s="162" t="s">
        <v>148</v>
      </c>
      <c r="Q2" s="164" t="s">
        <v>153</v>
      </c>
      <c r="R2" s="162" t="s">
        <v>154</v>
      </c>
      <c r="S2" s="162" t="s">
        <v>155</v>
      </c>
      <c r="T2" s="161">
        <v>2011</v>
      </c>
      <c r="U2" s="165">
        <v>127</v>
      </c>
      <c r="V2" s="165">
        <f>IF(ISNUMBER(U2),U2/VLOOKUP($S2,xRates!$A$1:$AA$267,data!$T2-xRates!$B$1+2,FALSE),U2)</f>
        <v>127</v>
      </c>
      <c r="W2" s="162" t="s">
        <v>156</v>
      </c>
      <c r="Y2" s="165"/>
      <c r="AA2" s="163" t="s">
        <v>157</v>
      </c>
      <c r="AB2" s="162"/>
      <c r="AD2" s="163" t="s">
        <v>157</v>
      </c>
      <c r="AE2" s="162" t="str">
        <f t="shared" ref="AE2:AE12" si="2">IF(AD2="No", "", "")</f>
        <v/>
      </c>
      <c r="AF2" s="163" t="s">
        <v>148</v>
      </c>
      <c r="AG2" s="163" t="s">
        <v>148</v>
      </c>
      <c r="AH2" s="163" t="s">
        <v>148</v>
      </c>
      <c r="AJ2" s="162"/>
      <c r="AK2" s="162" t="s">
        <v>158</v>
      </c>
      <c r="AL2" s="163" t="s">
        <v>159</v>
      </c>
      <c r="AM2" s="166">
        <v>530354</v>
      </c>
      <c r="AN2" s="166">
        <v>530354</v>
      </c>
      <c r="AO2" s="166">
        <f t="shared" ref="AO2:AO34" si="3">VLOOKUP(G2,gdppc,T2-1958,FALSE)</f>
        <v>5614.3521350000001</v>
      </c>
      <c r="AP2" s="163" t="str">
        <f t="shared" ref="AP2:AP20" si="4">IF(AN2="NA", ".", IF(AN2&lt;0,"Cost-Saving",IF(AN2&lt;=AO2,"Cost-Effective",IF(AN2&gt;AO2&amp;AN2&lt;&gt;"NA","Not Cost-Effective","Missing"))))</f>
        <v>Not Cost-Effective</v>
      </c>
      <c r="AQ2" s="163" t="str">
        <f>IF(AN2="NA", ".", IF(AN2&lt;0,"Cost-Saving",IF(AN2&lt;=AO2*3,"Cost-Effective",IF(AN2&gt;AO2*3&amp;AN2&lt;&gt;"NA","Not Cost-Effective","Missing"))))</f>
        <v>Not Cost-Effective</v>
      </c>
      <c r="AR2" s="167">
        <f t="shared" ref="AR2:AR65" si="5">IFERROR(AN2/AO2,".")</f>
        <v>94.463971487246226</v>
      </c>
      <c r="AS2" s="167">
        <f t="shared" ref="AS2:AS33" si="6">IFERROR(VLOOKUP(G2,ochalek,11,FALSE),".")</f>
        <v>0.71</v>
      </c>
      <c r="AT2" s="159" t="str">
        <f>IF(AR2&lt;0,"Cost-Saving", IF(AS2=".", ".", IF(AR2&lt;AS2, "Cost-Effective", "Not Cost-Effective")))</f>
        <v>Not Cost-Effective</v>
      </c>
      <c r="AU2" s="167">
        <f t="shared" ref="AU2:AU33" si="7">IFERROR(VLOOKUP(G2,ochalek,10,FALSE),".")</f>
        <v>0.45</v>
      </c>
      <c r="AV2" s="162" t="str">
        <f>IF(AR2&lt;0,"Cost-Saving", IF(AU2=".", ".", IF(AR2&lt;AU2, "Cost-Effective", "Not Cost-Effective")))</f>
        <v>Not Cost-Effective</v>
      </c>
      <c r="AW2" s="167">
        <f t="shared" ref="AW2:AW33" si="8">IFERROR(VLOOKUP(G2,woods,6,FALSE),".")</f>
        <v>0.6481168977852142</v>
      </c>
      <c r="AX2" s="159" t="str">
        <f>IF(AR2&lt;0,"Cost-Saving", IF(AW2=".", ".", IF(AR2&lt;AW2, "Cost-Effective", "Not Cost-Effective")))</f>
        <v>Not Cost-Effective</v>
      </c>
      <c r="AY2" s="167">
        <f t="shared" ref="AY2:AY33" si="9">IFERROR(VLOOKUP(G2,woods,5,FALSE),".")</f>
        <v>0.16395220864852342</v>
      </c>
      <c r="AZ2" s="159" t="str">
        <f>IF(AR2&lt;0,"Cost-Saving", IF(AY2=".", ".", IF(AR2&lt;AY2, "Cost-Effective", "Not Cost-Effective")))</f>
        <v>Not Cost-Effective</v>
      </c>
      <c r="BA2" s="167">
        <f t="shared" ref="BA2:BA33" si="10">IFERROR(VLOOKUP(G2,riviere,8,FALSE),".")</f>
        <v>0.90271550536772804</v>
      </c>
      <c r="BB2" s="159" t="str">
        <f>IF(AR2&lt;0,"Cost-Saving", IF(BA2=".", ".", IF(AR2&lt;BA2, "Cost-Effective", "Not Cost-Effective")))</f>
        <v>Not Cost-Effective</v>
      </c>
      <c r="BC2" s="167">
        <f t="shared" ref="BC2:BC33" si="11">IFERROR(VLOOKUP(G2,riviere,7,FALSE),".")</f>
        <v>0.37411874444365267</v>
      </c>
      <c r="BD2" s="159" t="str">
        <f>IF(AR2&lt;0,"Cost-Saving", IF(BC2=".", ".", IF(AR2&lt;BC2, "Cost-Effective", "Not Cost-Effective")))</f>
        <v>Not Cost-Effective</v>
      </c>
      <c r="BE2" s="162" t="s">
        <v>160</v>
      </c>
      <c r="BF2" s="162" t="s">
        <v>161</v>
      </c>
      <c r="BG2" s="168" t="str">
        <f t="shared" ref="BG2:BG33" si="12">IF(BF2="Cost-Effective",IF(AV2="Not Cost-Effective",1,0),".")</f>
        <v>.</v>
      </c>
      <c r="BH2" s="168" t="str">
        <f t="shared" ref="BH2:BH33" si="13">IF(BF2="Cost-Effective",IF(AT2="Not Cost-Effective",1,0),".")</f>
        <v>.</v>
      </c>
      <c r="BI2" s="163" t="str">
        <f t="shared" ref="BI2:BI33" si="14">IF(BF2="Cost-Effective",IF(AZ2="Not Cost-Effective",1,0),".")</f>
        <v>.</v>
      </c>
      <c r="BJ2" s="163" t="str">
        <f t="shared" ref="BJ2:BJ33" si="15">IF(BF2="Cost-Effective",IF(AX2="Not Cost-Effective",1,0),".")</f>
        <v>.</v>
      </c>
      <c r="BK2" s="163" t="str">
        <f>IF(BF2="Cost-Effective",IF(BD2="Not Cost-Effective",1,0),".")</f>
        <v>.</v>
      </c>
      <c r="BL2" s="163" t="str">
        <f>IF(BF2="Cost-Effective",IF(BB2="Not Cost-Effective",1,0),".")</f>
        <v>.</v>
      </c>
      <c r="BM2" s="163">
        <f>SUM(BG2:BL2)</f>
        <v>0</v>
      </c>
      <c r="BN2" s="163" t="s">
        <v>157</v>
      </c>
      <c r="BO2" s="162" t="str">
        <f t="shared" ref="BO2:BO27" si="16">IF(BN2="No", "", "")</f>
        <v/>
      </c>
      <c r="BP2" s="162" t="s">
        <v>1401</v>
      </c>
      <c r="BQ2" s="169" t="s">
        <v>1426</v>
      </c>
    </row>
    <row r="3" spans="1:70">
      <c r="A3" s="159">
        <f t="shared" ref="A3:A66" si="17">IF(F3=F2,A2,A2+1)</f>
        <v>1</v>
      </c>
      <c r="B3" s="159">
        <f t="shared" ref="B3:B66" si="18">IF(F3=F2,B2+1,1)</f>
        <v>2</v>
      </c>
      <c r="C3" s="160" t="str">
        <f t="shared" si="0"/>
        <v>0102</v>
      </c>
      <c r="D3" s="159" t="s">
        <v>145</v>
      </c>
      <c r="E3" s="161">
        <v>2014</v>
      </c>
      <c r="F3" s="162" t="s">
        <v>146</v>
      </c>
      <c r="G3" s="162" t="s">
        <v>147</v>
      </c>
      <c r="H3" s="163" t="str">
        <f t="shared" si="1"/>
        <v>UM</v>
      </c>
      <c r="I3" s="163" t="s">
        <v>148</v>
      </c>
      <c r="J3" s="162" t="s">
        <v>149</v>
      </c>
      <c r="K3" s="163" t="s">
        <v>150</v>
      </c>
      <c r="L3" s="163" t="s">
        <v>151</v>
      </c>
      <c r="M3" s="163" t="str">
        <f t="shared" ref="M3:M66" si="19">_xlfn.CONCAT(K3, " vs ", L3)</f>
        <v>PCV7 vs NoVax</v>
      </c>
      <c r="N3" s="159" t="s">
        <v>152</v>
      </c>
      <c r="O3" s="159">
        <v>3</v>
      </c>
      <c r="P3" s="162" t="s">
        <v>157</v>
      </c>
      <c r="Q3" s="164" t="s">
        <v>153</v>
      </c>
      <c r="R3" s="162" t="s">
        <v>154</v>
      </c>
      <c r="S3" s="162" t="s">
        <v>155</v>
      </c>
      <c r="T3" s="161">
        <v>2011</v>
      </c>
      <c r="U3" s="165">
        <v>127</v>
      </c>
      <c r="V3" s="165">
        <f>IF(ISNUMBER(U3),U3/VLOOKUP($S3,xRates!$A$1:$AA$267,data!$T3-xRates!$B$1+2,FALSE),U3)</f>
        <v>127</v>
      </c>
      <c r="W3" s="162" t="s">
        <v>156</v>
      </c>
      <c r="Y3" s="165"/>
      <c r="AA3" s="163" t="s">
        <v>148</v>
      </c>
      <c r="AB3" s="162" t="s">
        <v>162</v>
      </c>
      <c r="AC3" s="162" t="s">
        <v>148</v>
      </c>
      <c r="AD3" s="163" t="s">
        <v>157</v>
      </c>
      <c r="AE3" s="162" t="str">
        <f t="shared" si="2"/>
        <v/>
      </c>
      <c r="AF3" s="163" t="s">
        <v>148</v>
      </c>
      <c r="AG3" s="163" t="s">
        <v>148</v>
      </c>
      <c r="AH3" s="163" t="s">
        <v>148</v>
      </c>
      <c r="AJ3" s="162"/>
      <c r="AK3" s="162" t="s">
        <v>163</v>
      </c>
      <c r="AL3" s="163" t="s">
        <v>159</v>
      </c>
      <c r="AM3" s="166">
        <v>95319</v>
      </c>
      <c r="AN3" s="166">
        <v>95319</v>
      </c>
      <c r="AO3" s="166">
        <f t="shared" si="3"/>
        <v>5614.3521350000001</v>
      </c>
      <c r="AP3" s="163" t="str">
        <f t="shared" si="4"/>
        <v>Not Cost-Effective</v>
      </c>
      <c r="AQ3" s="163" t="str">
        <f t="shared" ref="AQ3:AQ66" si="20">IF(AN3="NA", ".", IF(AN3&lt;0,"Cost-Saving",IF(AN3&lt;=AO3*3,"Cost-Effective",IF(AN3&gt;AO3*3&amp;AN3&lt;&gt;"NA","Not Cost-Effective","Missing"))))</f>
        <v>Not Cost-Effective</v>
      </c>
      <c r="AR3" s="167">
        <f t="shared" si="5"/>
        <v>16.977738073424209</v>
      </c>
      <c r="AS3" s="167">
        <f t="shared" si="6"/>
        <v>0.71</v>
      </c>
      <c r="AT3" s="159" t="str">
        <f t="shared" ref="AT3:AT66" si="21">IF(AR3&lt;0,"Cost-Saving", IF(AS3=".", ".", IF(AR3&lt;AS3, "Cost-Effective", "Not Cost-Effective")))</f>
        <v>Not Cost-Effective</v>
      </c>
      <c r="AU3" s="167">
        <f t="shared" si="7"/>
        <v>0.45</v>
      </c>
      <c r="AV3" s="162" t="str">
        <f t="shared" ref="AV3:AV66" si="22">IF(AR3&lt;0,"Cost-Saving", IF(AU3=".", ".", IF(AR3&lt;AU3, "Cost-Effective", "Not Cost-Effective")))</f>
        <v>Not Cost-Effective</v>
      </c>
      <c r="AW3" s="167">
        <f t="shared" si="8"/>
        <v>0.6481168977852142</v>
      </c>
      <c r="AX3" s="159" t="str">
        <f t="shared" ref="AX3:AX66" si="23">IF(AR3&lt;0,"Cost-Saving", IF(AW3=".", ".", IF(AR3&lt;AW3, "Cost-Effective", "Not Cost-Effective")))</f>
        <v>Not Cost-Effective</v>
      </c>
      <c r="AY3" s="167">
        <f t="shared" si="9"/>
        <v>0.16395220864852342</v>
      </c>
      <c r="AZ3" s="159" t="str">
        <f t="shared" ref="AZ3:AZ66" si="24">IF(AR3&lt;0,"Cost-Saving", IF(AY3=".", ".", IF(AR3&lt;AY3, "Cost-Effective", "Not Cost-Effective")))</f>
        <v>Not Cost-Effective</v>
      </c>
      <c r="BA3" s="167">
        <f t="shared" si="10"/>
        <v>0.90271550536772804</v>
      </c>
      <c r="BB3" s="159" t="str">
        <f t="shared" ref="BB3:BB66" si="25">IF(AR3&lt;0,"Cost-Saving", IF(BA3=".", ".", IF(AR3&lt;BA3, "Cost-Effective", "Not Cost-Effective")))</f>
        <v>Not Cost-Effective</v>
      </c>
      <c r="BC3" s="167">
        <f t="shared" si="11"/>
        <v>0.37411874444365267</v>
      </c>
      <c r="BD3" s="159" t="str">
        <f t="shared" ref="BD3:BD66" si="26">IF(AR3&lt;0,"Cost-Saving", IF(BC3=".", ".", IF(AR3&lt;BC3, "Cost-Effective", "Not Cost-Effective")))</f>
        <v>Not Cost-Effective</v>
      </c>
      <c r="BE3" s="162" t="s">
        <v>160</v>
      </c>
      <c r="BF3" s="162" t="s">
        <v>161</v>
      </c>
      <c r="BG3" s="168" t="str">
        <f t="shared" si="12"/>
        <v>.</v>
      </c>
      <c r="BH3" s="168" t="str">
        <f t="shared" si="13"/>
        <v>.</v>
      </c>
      <c r="BI3" s="163" t="str">
        <f t="shared" si="14"/>
        <v>.</v>
      </c>
      <c r="BJ3" s="163" t="str">
        <f t="shared" si="15"/>
        <v>.</v>
      </c>
      <c r="BK3" s="163" t="str">
        <f t="shared" ref="BK3:BK66" si="27">IF(BF3="Cost-Effective",IF(BD3="Not Cost-Effective",1,0),".")</f>
        <v>.</v>
      </c>
      <c r="BL3" s="163" t="str">
        <f t="shared" ref="BL3:BL66" si="28">IF(BF3="Cost-Effective",IF(BB3="Not Cost-Effective",1,0),".")</f>
        <v>.</v>
      </c>
      <c r="BM3" s="163">
        <f t="shared" ref="BM3:BM66" si="29">SUM(BG3:BL3)</f>
        <v>0</v>
      </c>
      <c r="BN3" s="163" t="s">
        <v>157</v>
      </c>
      <c r="BO3" s="162" t="str">
        <f t="shared" si="16"/>
        <v/>
      </c>
      <c r="BP3" s="162" t="s">
        <v>1401</v>
      </c>
      <c r="BQ3" s="169" t="s">
        <v>1426</v>
      </c>
    </row>
    <row r="4" spans="1:70">
      <c r="A4" s="159">
        <f t="shared" si="17"/>
        <v>2</v>
      </c>
      <c r="B4" s="159">
        <f t="shared" si="18"/>
        <v>1</v>
      </c>
      <c r="C4" s="160" t="str">
        <f t="shared" si="0"/>
        <v>0201</v>
      </c>
      <c r="D4" s="159" t="s">
        <v>164</v>
      </c>
      <c r="E4" s="161">
        <v>2015</v>
      </c>
      <c r="F4" s="162" t="s">
        <v>165</v>
      </c>
      <c r="G4" s="162" t="s">
        <v>147</v>
      </c>
      <c r="H4" s="163" t="str">
        <f t="shared" si="1"/>
        <v>UM</v>
      </c>
      <c r="I4" s="163" t="s">
        <v>148</v>
      </c>
      <c r="J4" s="162" t="s">
        <v>149</v>
      </c>
      <c r="K4" s="163" t="s">
        <v>150</v>
      </c>
      <c r="L4" s="163" t="s">
        <v>151</v>
      </c>
      <c r="M4" s="163" t="str">
        <f t="shared" si="19"/>
        <v>PCV7 vs NoVax</v>
      </c>
      <c r="N4" s="159" t="s">
        <v>166</v>
      </c>
      <c r="O4" s="159">
        <v>4</v>
      </c>
      <c r="P4" s="162" t="s">
        <v>148</v>
      </c>
      <c r="Q4" s="164" t="s">
        <v>167</v>
      </c>
      <c r="R4" s="162" t="s">
        <v>168</v>
      </c>
      <c r="S4" s="162" t="s">
        <v>147</v>
      </c>
      <c r="T4" s="161">
        <v>2011</v>
      </c>
      <c r="U4" s="165">
        <v>860</v>
      </c>
      <c r="V4" s="165">
        <f>IF(ISNUMBER(U4),U4/VLOOKUP($S4,xRates!$A$1:$AA$267,data!$T4-xRates!$B$1+2,FALSE),U4)</f>
        <v>133.09682694629308</v>
      </c>
      <c r="W4" s="162" t="s">
        <v>169</v>
      </c>
      <c r="Y4" s="165"/>
      <c r="Z4" s="162" t="s">
        <v>169</v>
      </c>
      <c r="AA4" s="163" t="s">
        <v>148</v>
      </c>
      <c r="AB4" s="162" t="s">
        <v>170</v>
      </c>
      <c r="AC4" s="162" t="s">
        <v>157</v>
      </c>
      <c r="AD4" s="163" t="s">
        <v>157</v>
      </c>
      <c r="AE4" s="162" t="str">
        <f t="shared" si="2"/>
        <v/>
      </c>
      <c r="AF4" s="163" t="s">
        <v>148</v>
      </c>
      <c r="AG4" s="163" t="s">
        <v>148</v>
      </c>
      <c r="AH4" s="163" t="s">
        <v>148</v>
      </c>
      <c r="AJ4" s="162" t="s">
        <v>171</v>
      </c>
      <c r="AK4" s="162" t="s">
        <v>172</v>
      </c>
      <c r="AL4" s="163" t="s">
        <v>159</v>
      </c>
      <c r="AM4" s="166">
        <v>13737</v>
      </c>
      <c r="AN4" s="166">
        <f>AM4/xRates!$U$43</f>
        <v>2205.8651121426265</v>
      </c>
      <c r="AO4" s="166">
        <f t="shared" si="3"/>
        <v>5614.3521350000001</v>
      </c>
      <c r="AP4" s="163" t="str">
        <f t="shared" si="4"/>
        <v>Cost-Effective</v>
      </c>
      <c r="AQ4" s="163" t="str">
        <f t="shared" si="20"/>
        <v>Cost-Effective</v>
      </c>
      <c r="AR4" s="167">
        <f t="shared" si="5"/>
        <v>0.39289753458662002</v>
      </c>
      <c r="AS4" s="167">
        <f t="shared" si="6"/>
        <v>0.71</v>
      </c>
      <c r="AT4" s="159" t="str">
        <f t="shared" si="21"/>
        <v>Cost-Effective</v>
      </c>
      <c r="AU4" s="167">
        <f t="shared" si="7"/>
        <v>0.45</v>
      </c>
      <c r="AV4" s="162" t="str">
        <f t="shared" si="22"/>
        <v>Cost-Effective</v>
      </c>
      <c r="AW4" s="167">
        <f t="shared" si="8"/>
        <v>0.6481168977852142</v>
      </c>
      <c r="AX4" s="159" t="str">
        <f t="shared" si="23"/>
        <v>Cost-Effective</v>
      </c>
      <c r="AY4" s="167">
        <f t="shared" si="9"/>
        <v>0.16395220864852342</v>
      </c>
      <c r="AZ4" s="159" t="str">
        <f t="shared" si="24"/>
        <v>Not Cost-Effective</v>
      </c>
      <c r="BA4" s="167">
        <f t="shared" si="10"/>
        <v>0.90271550536772804</v>
      </c>
      <c r="BB4" s="159" t="str">
        <f t="shared" si="25"/>
        <v>Cost-Effective</v>
      </c>
      <c r="BC4" s="167">
        <f t="shared" si="11"/>
        <v>0.37411874444365267</v>
      </c>
      <c r="BD4" s="159" t="str">
        <f t="shared" si="26"/>
        <v>Not Cost-Effective</v>
      </c>
      <c r="BE4" s="162" t="s">
        <v>173</v>
      </c>
      <c r="BF4" s="162" t="s">
        <v>174</v>
      </c>
      <c r="BG4" s="168">
        <f t="shared" si="12"/>
        <v>0</v>
      </c>
      <c r="BH4" s="168">
        <f t="shared" si="13"/>
        <v>0</v>
      </c>
      <c r="BI4" s="163">
        <f t="shared" si="14"/>
        <v>1</v>
      </c>
      <c r="BJ4" s="163">
        <f t="shared" si="15"/>
        <v>0</v>
      </c>
      <c r="BK4" s="163">
        <f t="shared" si="27"/>
        <v>1</v>
      </c>
      <c r="BL4" s="163">
        <f t="shared" si="28"/>
        <v>0</v>
      </c>
      <c r="BM4" s="163">
        <f t="shared" si="29"/>
        <v>2</v>
      </c>
      <c r="BN4" s="163" t="s">
        <v>157</v>
      </c>
      <c r="BO4" s="162" t="str">
        <f t="shared" si="16"/>
        <v/>
      </c>
      <c r="BP4" s="162" t="s">
        <v>279</v>
      </c>
      <c r="BQ4" s="162" t="s">
        <v>1425</v>
      </c>
    </row>
    <row r="5" spans="1:70">
      <c r="A5" s="159">
        <f t="shared" si="17"/>
        <v>3</v>
      </c>
      <c r="B5" s="159">
        <f t="shared" si="18"/>
        <v>1</v>
      </c>
      <c r="C5" s="160" t="str">
        <f t="shared" si="0"/>
        <v>0301</v>
      </c>
      <c r="D5" s="159" t="s">
        <v>175</v>
      </c>
      <c r="E5" s="161">
        <v>2016</v>
      </c>
      <c r="F5" s="162" t="s">
        <v>176</v>
      </c>
      <c r="G5" s="162" t="s">
        <v>147</v>
      </c>
      <c r="H5" s="163" t="str">
        <f t="shared" si="1"/>
        <v>UM</v>
      </c>
      <c r="I5" s="163" t="s">
        <v>148</v>
      </c>
      <c r="J5" s="162" t="s">
        <v>149</v>
      </c>
      <c r="K5" s="163" t="s">
        <v>150</v>
      </c>
      <c r="L5" s="163" t="s">
        <v>151</v>
      </c>
      <c r="M5" s="163" t="str">
        <f t="shared" si="19"/>
        <v>PCV7 vs NoVax</v>
      </c>
      <c r="N5" s="159" t="s">
        <v>177</v>
      </c>
      <c r="O5" s="159" t="s">
        <v>178</v>
      </c>
      <c r="P5" s="162" t="s">
        <v>148</v>
      </c>
      <c r="Q5" s="164" t="s">
        <v>153</v>
      </c>
      <c r="R5" s="162" t="s">
        <v>154</v>
      </c>
      <c r="S5" s="162" t="s">
        <v>155</v>
      </c>
      <c r="T5" s="161">
        <v>2014</v>
      </c>
      <c r="U5" s="165">
        <v>146</v>
      </c>
      <c r="V5" s="165">
        <f>IF(ISNUMBER(U5),U5/VLOOKUP($S5,xRates!$A$1:$AA$267,data!$T5-xRates!$B$1+2,FALSE),U5)</f>
        <v>146</v>
      </c>
      <c r="W5" s="162" t="s">
        <v>179</v>
      </c>
      <c r="Y5" s="165"/>
      <c r="AA5" s="163" t="s">
        <v>157</v>
      </c>
      <c r="AB5" s="162"/>
      <c r="AD5" s="163" t="s">
        <v>157</v>
      </c>
      <c r="AE5" s="162" t="str">
        <f t="shared" si="2"/>
        <v/>
      </c>
      <c r="AF5" s="163" t="s">
        <v>148</v>
      </c>
      <c r="AG5" s="163" t="s">
        <v>148</v>
      </c>
      <c r="AH5" s="163" t="s">
        <v>148</v>
      </c>
      <c r="AJ5" s="162" t="s">
        <v>180</v>
      </c>
      <c r="AK5" s="162" t="s">
        <v>181</v>
      </c>
      <c r="AL5" s="163" t="s">
        <v>159</v>
      </c>
      <c r="AM5" s="166">
        <v>18224</v>
      </c>
      <c r="AN5" s="166">
        <v>18224</v>
      </c>
      <c r="AO5" s="166">
        <f t="shared" si="3"/>
        <v>7636.1166009999997</v>
      </c>
      <c r="AP5" s="163" t="str">
        <f t="shared" si="4"/>
        <v>Not Cost-Effective</v>
      </c>
      <c r="AQ5" s="163" t="str">
        <f t="shared" si="20"/>
        <v>Cost-Effective</v>
      </c>
      <c r="AR5" s="167">
        <f t="shared" si="5"/>
        <v>2.3865533951659992</v>
      </c>
      <c r="AS5" s="167">
        <f t="shared" si="6"/>
        <v>0.71</v>
      </c>
      <c r="AT5" s="159" t="str">
        <f t="shared" si="21"/>
        <v>Not Cost-Effective</v>
      </c>
      <c r="AU5" s="167">
        <f t="shared" si="7"/>
        <v>0.45</v>
      </c>
      <c r="AV5" s="162" t="str">
        <f t="shared" si="22"/>
        <v>Not Cost-Effective</v>
      </c>
      <c r="AW5" s="167">
        <f t="shared" si="8"/>
        <v>0.6481168977852142</v>
      </c>
      <c r="AX5" s="159" t="str">
        <f t="shared" si="23"/>
        <v>Not Cost-Effective</v>
      </c>
      <c r="AY5" s="167">
        <f t="shared" si="9"/>
        <v>0.16395220864852342</v>
      </c>
      <c r="AZ5" s="159" t="str">
        <f t="shared" si="24"/>
        <v>Not Cost-Effective</v>
      </c>
      <c r="BA5" s="167">
        <f t="shared" si="10"/>
        <v>0.90271550536772804</v>
      </c>
      <c r="BB5" s="159" t="str">
        <f t="shared" si="25"/>
        <v>Not Cost-Effective</v>
      </c>
      <c r="BC5" s="167">
        <f t="shared" si="11"/>
        <v>0.37411874444365267</v>
      </c>
      <c r="BD5" s="159" t="str">
        <f t="shared" si="26"/>
        <v>Not Cost-Effective</v>
      </c>
      <c r="BE5" s="162" t="s">
        <v>173</v>
      </c>
      <c r="BF5" s="162" t="s">
        <v>174</v>
      </c>
      <c r="BG5" s="168">
        <f t="shared" si="12"/>
        <v>1</v>
      </c>
      <c r="BH5" s="168">
        <f t="shared" si="13"/>
        <v>1</v>
      </c>
      <c r="BI5" s="163">
        <f t="shared" si="14"/>
        <v>1</v>
      </c>
      <c r="BJ5" s="163">
        <f t="shared" si="15"/>
        <v>1</v>
      </c>
      <c r="BK5" s="163">
        <f t="shared" si="27"/>
        <v>1</v>
      </c>
      <c r="BL5" s="163">
        <f t="shared" si="28"/>
        <v>1</v>
      </c>
      <c r="BM5" s="163">
        <f t="shared" si="29"/>
        <v>6</v>
      </c>
      <c r="BN5" s="163" t="s">
        <v>157</v>
      </c>
      <c r="BO5" s="162" t="str">
        <f t="shared" si="16"/>
        <v/>
      </c>
      <c r="BP5" s="162" t="s">
        <v>1402</v>
      </c>
      <c r="BQ5" s="169" t="s">
        <v>1426</v>
      </c>
    </row>
    <row r="6" spans="1:70">
      <c r="A6" s="159">
        <f t="shared" si="17"/>
        <v>3</v>
      </c>
      <c r="B6" s="159">
        <f t="shared" si="18"/>
        <v>2</v>
      </c>
      <c r="C6" s="160" t="str">
        <f t="shared" si="0"/>
        <v>0302</v>
      </c>
      <c r="D6" s="159" t="s">
        <v>175</v>
      </c>
      <c r="E6" s="161">
        <v>2016</v>
      </c>
      <c r="F6" s="162" t="s">
        <v>176</v>
      </c>
      <c r="G6" s="162" t="s">
        <v>147</v>
      </c>
      <c r="H6" s="163" t="str">
        <f t="shared" si="1"/>
        <v>UM</v>
      </c>
      <c r="I6" s="163" t="s">
        <v>148</v>
      </c>
      <c r="J6" s="162" t="s">
        <v>182</v>
      </c>
      <c r="K6" s="163" t="s">
        <v>183</v>
      </c>
      <c r="L6" s="163" t="s">
        <v>151</v>
      </c>
      <c r="M6" s="163" t="str">
        <f t="shared" si="19"/>
        <v>PCV10 vs NoVax</v>
      </c>
      <c r="N6" s="159" t="s">
        <v>177</v>
      </c>
      <c r="O6" s="159" t="s">
        <v>178</v>
      </c>
      <c r="P6" s="162" t="s">
        <v>148</v>
      </c>
      <c r="Q6" s="164" t="s">
        <v>153</v>
      </c>
      <c r="R6" s="162" t="s">
        <v>154</v>
      </c>
      <c r="S6" s="162" t="s">
        <v>155</v>
      </c>
      <c r="T6" s="161">
        <v>2014</v>
      </c>
      <c r="U6" s="165">
        <v>146</v>
      </c>
      <c r="V6" s="165">
        <f>IF(ISNUMBER(U6),U6/VLOOKUP($S6,xRates!$A$1:$AA$267,data!$T6-xRates!$B$1+2,FALSE),U6)</f>
        <v>146</v>
      </c>
      <c r="W6" s="162" t="s">
        <v>179</v>
      </c>
      <c r="Y6" s="165"/>
      <c r="AA6" s="163" t="s">
        <v>157</v>
      </c>
      <c r="AB6" s="162"/>
      <c r="AD6" s="163" t="s">
        <v>157</v>
      </c>
      <c r="AE6" s="162" t="str">
        <f t="shared" si="2"/>
        <v/>
      </c>
      <c r="AF6" s="163" t="s">
        <v>148</v>
      </c>
      <c r="AG6" s="163" t="s">
        <v>148</v>
      </c>
      <c r="AH6" s="163" t="s">
        <v>148</v>
      </c>
      <c r="AJ6" s="162" t="s">
        <v>180</v>
      </c>
      <c r="AK6" s="162" t="s">
        <v>184</v>
      </c>
      <c r="AL6" s="163" t="s">
        <v>159</v>
      </c>
      <c r="AM6" s="166">
        <v>16664</v>
      </c>
      <c r="AN6" s="166">
        <v>16664</v>
      </c>
      <c r="AO6" s="166">
        <f t="shared" si="3"/>
        <v>7636.1166009999997</v>
      </c>
      <c r="AP6" s="163" t="str">
        <f t="shared" si="4"/>
        <v>Not Cost-Effective</v>
      </c>
      <c r="AQ6" s="163" t="str">
        <f t="shared" si="20"/>
        <v>Cost-Effective</v>
      </c>
      <c r="AR6" s="167">
        <f t="shared" si="5"/>
        <v>2.1822610720503848</v>
      </c>
      <c r="AS6" s="167">
        <f t="shared" si="6"/>
        <v>0.71</v>
      </c>
      <c r="AT6" s="159" t="str">
        <f t="shared" si="21"/>
        <v>Not Cost-Effective</v>
      </c>
      <c r="AU6" s="167">
        <f t="shared" si="7"/>
        <v>0.45</v>
      </c>
      <c r="AV6" s="162" t="str">
        <f t="shared" si="22"/>
        <v>Not Cost-Effective</v>
      </c>
      <c r="AW6" s="167">
        <f t="shared" si="8"/>
        <v>0.6481168977852142</v>
      </c>
      <c r="AX6" s="159" t="str">
        <f t="shared" si="23"/>
        <v>Not Cost-Effective</v>
      </c>
      <c r="AY6" s="167">
        <f t="shared" si="9"/>
        <v>0.16395220864852342</v>
      </c>
      <c r="AZ6" s="159" t="str">
        <f t="shared" si="24"/>
        <v>Not Cost-Effective</v>
      </c>
      <c r="BA6" s="167">
        <f t="shared" si="10"/>
        <v>0.90271550536772804</v>
      </c>
      <c r="BB6" s="159" t="str">
        <f t="shared" si="25"/>
        <v>Not Cost-Effective</v>
      </c>
      <c r="BC6" s="167">
        <f t="shared" si="11"/>
        <v>0.37411874444365267</v>
      </c>
      <c r="BD6" s="159" t="str">
        <f t="shared" si="26"/>
        <v>Not Cost-Effective</v>
      </c>
      <c r="BE6" s="162" t="s">
        <v>173</v>
      </c>
      <c r="BF6" s="162" t="s">
        <v>174</v>
      </c>
      <c r="BG6" s="168">
        <f t="shared" si="12"/>
        <v>1</v>
      </c>
      <c r="BH6" s="168">
        <f t="shared" si="13"/>
        <v>1</v>
      </c>
      <c r="BI6" s="163">
        <f t="shared" si="14"/>
        <v>1</v>
      </c>
      <c r="BJ6" s="163">
        <f t="shared" si="15"/>
        <v>1</v>
      </c>
      <c r="BK6" s="163">
        <f t="shared" si="27"/>
        <v>1</v>
      </c>
      <c r="BL6" s="163">
        <f t="shared" si="28"/>
        <v>1</v>
      </c>
      <c r="BM6" s="163">
        <f t="shared" si="29"/>
        <v>6</v>
      </c>
      <c r="BN6" s="163" t="s">
        <v>157</v>
      </c>
      <c r="BO6" s="162" t="str">
        <f t="shared" si="16"/>
        <v/>
      </c>
      <c r="BP6" s="162" t="s">
        <v>1402</v>
      </c>
      <c r="BQ6" s="169" t="s">
        <v>1426</v>
      </c>
    </row>
    <row r="7" spans="1:70">
      <c r="A7" s="159">
        <f t="shared" si="17"/>
        <v>3</v>
      </c>
      <c r="B7" s="159">
        <f t="shared" si="18"/>
        <v>3</v>
      </c>
      <c r="C7" s="160" t="str">
        <f t="shared" si="0"/>
        <v>0303</v>
      </c>
      <c r="D7" s="159" t="s">
        <v>175</v>
      </c>
      <c r="E7" s="161">
        <v>2016</v>
      </c>
      <c r="F7" s="162" t="s">
        <v>176</v>
      </c>
      <c r="G7" s="162" t="s">
        <v>147</v>
      </c>
      <c r="H7" s="163" t="str">
        <f t="shared" si="1"/>
        <v>UM</v>
      </c>
      <c r="I7" s="163" t="s">
        <v>148</v>
      </c>
      <c r="J7" s="162" t="s">
        <v>185</v>
      </c>
      <c r="K7" s="163" t="s">
        <v>186</v>
      </c>
      <c r="L7" s="163" t="s">
        <v>151</v>
      </c>
      <c r="M7" s="163" t="str">
        <f t="shared" si="19"/>
        <v>PCV13 vs NoVax</v>
      </c>
      <c r="N7" s="159" t="s">
        <v>177</v>
      </c>
      <c r="O7" s="159" t="s">
        <v>178</v>
      </c>
      <c r="P7" s="162" t="s">
        <v>148</v>
      </c>
      <c r="Q7" s="164" t="s">
        <v>153</v>
      </c>
      <c r="R7" s="162" t="s">
        <v>154</v>
      </c>
      <c r="S7" s="162" t="s">
        <v>155</v>
      </c>
      <c r="T7" s="161">
        <v>2014</v>
      </c>
      <c r="U7" s="165">
        <v>146</v>
      </c>
      <c r="V7" s="165">
        <f>IF(ISNUMBER(U7),U7/VLOOKUP($S7,xRates!$A$1:$AA$267,data!$T7-xRates!$B$1+2,FALSE),U7)</f>
        <v>146</v>
      </c>
      <c r="W7" s="162" t="s">
        <v>179</v>
      </c>
      <c r="Y7" s="165"/>
      <c r="AA7" s="163" t="s">
        <v>157</v>
      </c>
      <c r="AB7" s="162"/>
      <c r="AD7" s="163" t="s">
        <v>157</v>
      </c>
      <c r="AE7" s="162" t="str">
        <f t="shared" si="2"/>
        <v/>
      </c>
      <c r="AF7" s="163" t="s">
        <v>148</v>
      </c>
      <c r="AG7" s="163" t="s">
        <v>148</v>
      </c>
      <c r="AH7" s="163" t="s">
        <v>148</v>
      </c>
      <c r="AJ7" s="162" t="s">
        <v>180</v>
      </c>
      <c r="AK7" s="162" t="s">
        <v>187</v>
      </c>
      <c r="AL7" s="163" t="s">
        <v>159</v>
      </c>
      <c r="AM7" s="166">
        <v>11436</v>
      </c>
      <c r="AN7" s="166">
        <v>11436</v>
      </c>
      <c r="AO7" s="166">
        <f t="shared" si="3"/>
        <v>7636.1166009999997</v>
      </c>
      <c r="AP7" s="163" t="str">
        <f t="shared" si="4"/>
        <v>Not Cost-Effective</v>
      </c>
      <c r="AQ7" s="163" t="str">
        <f t="shared" si="20"/>
        <v>Cost-Effective</v>
      </c>
      <c r="AR7" s="167">
        <f t="shared" si="5"/>
        <v>1.4976198763783126</v>
      </c>
      <c r="AS7" s="167">
        <f t="shared" si="6"/>
        <v>0.71</v>
      </c>
      <c r="AT7" s="159" t="str">
        <f t="shared" si="21"/>
        <v>Not Cost-Effective</v>
      </c>
      <c r="AU7" s="167">
        <f t="shared" si="7"/>
        <v>0.45</v>
      </c>
      <c r="AV7" s="162" t="str">
        <f t="shared" si="22"/>
        <v>Not Cost-Effective</v>
      </c>
      <c r="AW7" s="167">
        <f t="shared" si="8"/>
        <v>0.6481168977852142</v>
      </c>
      <c r="AX7" s="159" t="str">
        <f t="shared" si="23"/>
        <v>Not Cost-Effective</v>
      </c>
      <c r="AY7" s="167">
        <f t="shared" si="9"/>
        <v>0.16395220864852342</v>
      </c>
      <c r="AZ7" s="159" t="str">
        <f t="shared" si="24"/>
        <v>Not Cost-Effective</v>
      </c>
      <c r="BA7" s="167">
        <f t="shared" si="10"/>
        <v>0.90271550536772804</v>
      </c>
      <c r="BB7" s="159" t="str">
        <f t="shared" si="25"/>
        <v>Not Cost-Effective</v>
      </c>
      <c r="BC7" s="167">
        <f t="shared" si="11"/>
        <v>0.37411874444365267</v>
      </c>
      <c r="BD7" s="159" t="str">
        <f t="shared" si="26"/>
        <v>Not Cost-Effective</v>
      </c>
      <c r="BE7" s="162" t="s">
        <v>173</v>
      </c>
      <c r="BF7" s="162" t="s">
        <v>174</v>
      </c>
      <c r="BG7" s="168">
        <f t="shared" si="12"/>
        <v>1</v>
      </c>
      <c r="BH7" s="168">
        <f t="shared" si="13"/>
        <v>1</v>
      </c>
      <c r="BI7" s="163">
        <f t="shared" si="14"/>
        <v>1</v>
      </c>
      <c r="BJ7" s="163">
        <f t="shared" si="15"/>
        <v>1</v>
      </c>
      <c r="BK7" s="163">
        <f t="shared" si="27"/>
        <v>1</v>
      </c>
      <c r="BL7" s="163">
        <f t="shared" si="28"/>
        <v>1</v>
      </c>
      <c r="BM7" s="163">
        <f t="shared" si="29"/>
        <v>6</v>
      </c>
      <c r="BN7" s="163" t="s">
        <v>157</v>
      </c>
      <c r="BO7" s="162" t="str">
        <f t="shared" si="16"/>
        <v/>
      </c>
      <c r="BP7" s="162" t="s">
        <v>1402</v>
      </c>
      <c r="BQ7" s="169" t="s">
        <v>1426</v>
      </c>
    </row>
    <row r="8" spans="1:70">
      <c r="A8" s="159">
        <f t="shared" si="17"/>
        <v>4</v>
      </c>
      <c r="B8" s="159">
        <f t="shared" si="18"/>
        <v>1</v>
      </c>
      <c r="C8" s="160" t="str">
        <f t="shared" si="0"/>
        <v>0401</v>
      </c>
      <c r="D8" s="159" t="s">
        <v>188</v>
      </c>
      <c r="E8" s="161">
        <v>2016</v>
      </c>
      <c r="F8" s="162" t="s">
        <v>189</v>
      </c>
      <c r="G8" s="162" t="s">
        <v>147</v>
      </c>
      <c r="H8" s="163" t="str">
        <f t="shared" si="1"/>
        <v>UM</v>
      </c>
      <c r="I8" s="163" t="s">
        <v>148</v>
      </c>
      <c r="J8" s="162" t="s">
        <v>149</v>
      </c>
      <c r="K8" s="163" t="s">
        <v>150</v>
      </c>
      <c r="L8" s="163" t="s">
        <v>151</v>
      </c>
      <c r="M8" s="163" t="str">
        <f t="shared" si="19"/>
        <v>PCV7 vs NoVax</v>
      </c>
      <c r="N8" s="159" t="s">
        <v>190</v>
      </c>
      <c r="O8" s="159">
        <v>4</v>
      </c>
      <c r="P8" s="162" t="s">
        <v>148</v>
      </c>
      <c r="Q8" s="164" t="s">
        <v>153</v>
      </c>
      <c r="R8" s="162" t="s">
        <v>154</v>
      </c>
      <c r="S8" s="162" t="s">
        <v>155</v>
      </c>
      <c r="T8" s="161">
        <v>2015</v>
      </c>
      <c r="U8" s="165">
        <v>58</v>
      </c>
      <c r="V8" s="165">
        <f>IF(ISNUMBER(U8),U8/VLOOKUP($S8,xRates!$A$1:$AA$267,data!$T8-xRates!$B$1+2,FALSE),U8)</f>
        <v>58</v>
      </c>
      <c r="W8" s="162" t="s">
        <v>177</v>
      </c>
      <c r="Y8" s="165"/>
      <c r="AA8" s="163" t="s">
        <v>148</v>
      </c>
      <c r="AB8" s="162" t="s">
        <v>191</v>
      </c>
      <c r="AC8" s="162" t="s">
        <v>157</v>
      </c>
      <c r="AD8" s="163" t="s">
        <v>157</v>
      </c>
      <c r="AE8" s="162" t="str">
        <f t="shared" si="2"/>
        <v/>
      </c>
      <c r="AF8" s="163" t="s">
        <v>148</v>
      </c>
      <c r="AG8" s="163" t="s">
        <v>148</v>
      </c>
      <c r="AH8" s="163" t="s">
        <v>148</v>
      </c>
      <c r="AJ8" s="162"/>
      <c r="AK8" s="162" t="s">
        <v>192</v>
      </c>
      <c r="AL8" s="163" t="s">
        <v>159</v>
      </c>
      <c r="AM8" s="166">
        <v>104094</v>
      </c>
      <c r="AN8" s="166">
        <v>104094</v>
      </c>
      <c r="AO8" s="166">
        <f t="shared" si="3"/>
        <v>8016.4314350000004</v>
      </c>
      <c r="AP8" s="163" t="str">
        <f t="shared" si="4"/>
        <v>Not Cost-Effective</v>
      </c>
      <c r="AQ8" s="163" t="str">
        <f t="shared" si="20"/>
        <v>Not Cost-Effective</v>
      </c>
      <c r="AR8" s="167">
        <f t="shared" si="5"/>
        <v>12.985079563647512</v>
      </c>
      <c r="AS8" s="167">
        <f t="shared" si="6"/>
        <v>0.71</v>
      </c>
      <c r="AT8" s="159" t="str">
        <f t="shared" si="21"/>
        <v>Not Cost-Effective</v>
      </c>
      <c r="AU8" s="167">
        <f t="shared" si="7"/>
        <v>0.45</v>
      </c>
      <c r="AV8" s="162" t="str">
        <f t="shared" si="22"/>
        <v>Not Cost-Effective</v>
      </c>
      <c r="AW8" s="167">
        <f t="shared" si="8"/>
        <v>0.6481168977852142</v>
      </c>
      <c r="AX8" s="159" t="str">
        <f t="shared" si="23"/>
        <v>Not Cost-Effective</v>
      </c>
      <c r="AY8" s="167">
        <f t="shared" si="9"/>
        <v>0.16395220864852342</v>
      </c>
      <c r="AZ8" s="159" t="str">
        <f t="shared" si="24"/>
        <v>Not Cost-Effective</v>
      </c>
      <c r="BA8" s="167">
        <f t="shared" si="10"/>
        <v>0.90271550536772804</v>
      </c>
      <c r="BB8" s="159" t="str">
        <f t="shared" si="25"/>
        <v>Not Cost-Effective</v>
      </c>
      <c r="BC8" s="167">
        <f t="shared" si="11"/>
        <v>0.37411874444365267</v>
      </c>
      <c r="BD8" s="159" t="str">
        <f t="shared" si="26"/>
        <v>Not Cost-Effective</v>
      </c>
      <c r="BE8" s="162" t="s">
        <v>173</v>
      </c>
      <c r="BF8" s="162" t="s">
        <v>161</v>
      </c>
      <c r="BG8" s="168" t="str">
        <f t="shared" si="12"/>
        <v>.</v>
      </c>
      <c r="BH8" s="168" t="str">
        <f t="shared" si="13"/>
        <v>.</v>
      </c>
      <c r="BI8" s="163" t="str">
        <f t="shared" si="14"/>
        <v>.</v>
      </c>
      <c r="BJ8" s="163" t="str">
        <f t="shared" si="15"/>
        <v>.</v>
      </c>
      <c r="BK8" s="163" t="str">
        <f t="shared" si="27"/>
        <v>.</v>
      </c>
      <c r="BL8" s="163" t="str">
        <f t="shared" si="28"/>
        <v>.</v>
      </c>
      <c r="BM8" s="163">
        <f t="shared" si="29"/>
        <v>0</v>
      </c>
      <c r="BN8" s="163" t="s">
        <v>157</v>
      </c>
      <c r="BO8" s="162" t="str">
        <f t="shared" si="16"/>
        <v/>
      </c>
      <c r="BP8" s="162" t="s">
        <v>1403</v>
      </c>
      <c r="BQ8" s="162" t="s">
        <v>1403</v>
      </c>
      <c r="BR8" s="162" t="s">
        <v>193</v>
      </c>
    </row>
    <row r="9" spans="1:70">
      <c r="A9" s="159">
        <f t="shared" si="17"/>
        <v>4</v>
      </c>
      <c r="B9" s="159">
        <f t="shared" si="18"/>
        <v>2</v>
      </c>
      <c r="C9" s="160" t="str">
        <f t="shared" si="0"/>
        <v>0402</v>
      </c>
      <c r="D9" s="159" t="s">
        <v>188</v>
      </c>
      <c r="E9" s="161">
        <v>2016</v>
      </c>
      <c r="F9" s="162" t="s">
        <v>189</v>
      </c>
      <c r="G9" s="162" t="s">
        <v>147</v>
      </c>
      <c r="H9" s="163" t="str">
        <f t="shared" si="1"/>
        <v>UM</v>
      </c>
      <c r="I9" s="163" t="s">
        <v>148</v>
      </c>
      <c r="J9" s="162" t="s">
        <v>185</v>
      </c>
      <c r="K9" s="163" t="s">
        <v>186</v>
      </c>
      <c r="L9" s="163" t="s">
        <v>151</v>
      </c>
      <c r="M9" s="163" t="str">
        <f t="shared" si="19"/>
        <v>PCV13 vs NoVax</v>
      </c>
      <c r="N9" s="159" t="s">
        <v>194</v>
      </c>
      <c r="O9" s="159">
        <v>4</v>
      </c>
      <c r="P9" s="162" t="s">
        <v>148</v>
      </c>
      <c r="Q9" s="164" t="s">
        <v>153</v>
      </c>
      <c r="R9" s="162" t="s">
        <v>154</v>
      </c>
      <c r="S9" s="162" t="s">
        <v>155</v>
      </c>
      <c r="T9" s="161">
        <v>2015</v>
      </c>
      <c r="U9" s="165">
        <v>58</v>
      </c>
      <c r="V9" s="165">
        <f>IF(ISNUMBER(U9),U9/VLOOKUP($S9,xRates!$A$1:$AA$267,data!$T9-xRates!$B$1+2,FALSE),U9)</f>
        <v>58</v>
      </c>
      <c r="W9" s="162" t="s">
        <v>177</v>
      </c>
      <c r="Y9" s="165"/>
      <c r="AA9" s="163" t="s">
        <v>148</v>
      </c>
      <c r="AB9" s="162" t="s">
        <v>191</v>
      </c>
      <c r="AC9" s="162" t="s">
        <v>157</v>
      </c>
      <c r="AD9" s="163" t="s">
        <v>157</v>
      </c>
      <c r="AE9" s="162" t="str">
        <f t="shared" si="2"/>
        <v/>
      </c>
      <c r="AF9" s="163" t="s">
        <v>148</v>
      </c>
      <c r="AG9" s="163" t="s">
        <v>148</v>
      </c>
      <c r="AH9" s="163" t="s">
        <v>148</v>
      </c>
      <c r="AJ9" s="162"/>
      <c r="AK9" s="162" t="s">
        <v>195</v>
      </c>
      <c r="AL9" s="163" t="s">
        <v>159</v>
      </c>
      <c r="AM9" s="166">
        <v>29460</v>
      </c>
      <c r="AN9" s="166">
        <v>29460</v>
      </c>
      <c r="AO9" s="166">
        <f t="shared" si="3"/>
        <v>8016.4314350000004</v>
      </c>
      <c r="AP9" s="163" t="str">
        <f t="shared" si="4"/>
        <v>Not Cost-Effective</v>
      </c>
      <c r="AQ9" s="163" t="str">
        <f t="shared" si="20"/>
        <v>Not Cost-Effective</v>
      </c>
      <c r="AR9" s="167">
        <f t="shared" si="5"/>
        <v>3.6749519083237812</v>
      </c>
      <c r="AS9" s="167">
        <f t="shared" si="6"/>
        <v>0.71</v>
      </c>
      <c r="AT9" s="159" t="str">
        <f t="shared" si="21"/>
        <v>Not Cost-Effective</v>
      </c>
      <c r="AU9" s="167">
        <f t="shared" si="7"/>
        <v>0.45</v>
      </c>
      <c r="AV9" s="162" t="str">
        <f t="shared" si="22"/>
        <v>Not Cost-Effective</v>
      </c>
      <c r="AW9" s="167">
        <f t="shared" si="8"/>
        <v>0.6481168977852142</v>
      </c>
      <c r="AX9" s="159" t="str">
        <f t="shared" si="23"/>
        <v>Not Cost-Effective</v>
      </c>
      <c r="AY9" s="167">
        <f t="shared" si="9"/>
        <v>0.16395220864852342</v>
      </c>
      <c r="AZ9" s="159" t="str">
        <f t="shared" si="24"/>
        <v>Not Cost-Effective</v>
      </c>
      <c r="BA9" s="167">
        <f t="shared" si="10"/>
        <v>0.90271550536772804</v>
      </c>
      <c r="BB9" s="159" t="str">
        <f t="shared" si="25"/>
        <v>Not Cost-Effective</v>
      </c>
      <c r="BC9" s="167">
        <f t="shared" si="11"/>
        <v>0.37411874444365267</v>
      </c>
      <c r="BD9" s="159" t="str">
        <f t="shared" si="26"/>
        <v>Not Cost-Effective</v>
      </c>
      <c r="BE9" s="162" t="s">
        <v>173</v>
      </c>
      <c r="BF9" s="162" t="s">
        <v>161</v>
      </c>
      <c r="BG9" s="168" t="str">
        <f t="shared" si="12"/>
        <v>.</v>
      </c>
      <c r="BH9" s="168" t="str">
        <f t="shared" si="13"/>
        <v>.</v>
      </c>
      <c r="BI9" s="163" t="str">
        <f t="shared" si="14"/>
        <v>.</v>
      </c>
      <c r="BJ9" s="163" t="str">
        <f t="shared" si="15"/>
        <v>.</v>
      </c>
      <c r="BK9" s="163" t="str">
        <f t="shared" si="27"/>
        <v>.</v>
      </c>
      <c r="BL9" s="163" t="str">
        <f t="shared" si="28"/>
        <v>.</v>
      </c>
      <c r="BM9" s="163">
        <f t="shared" si="29"/>
        <v>0</v>
      </c>
      <c r="BN9" s="163" t="s">
        <v>157</v>
      </c>
      <c r="BO9" s="162" t="str">
        <f t="shared" si="16"/>
        <v/>
      </c>
      <c r="BP9" s="162" t="s">
        <v>1403</v>
      </c>
      <c r="BQ9" s="162" t="s">
        <v>1403</v>
      </c>
      <c r="BR9" s="162" t="s">
        <v>193</v>
      </c>
    </row>
    <row r="10" spans="1:70">
      <c r="A10" s="159">
        <f t="shared" si="17"/>
        <v>5</v>
      </c>
      <c r="B10" s="159">
        <f t="shared" si="18"/>
        <v>1</v>
      </c>
      <c r="C10" s="160" t="str">
        <f t="shared" si="0"/>
        <v>0501</v>
      </c>
      <c r="D10" s="159" t="s">
        <v>196</v>
      </c>
      <c r="E10" s="161">
        <v>2018</v>
      </c>
      <c r="F10" s="162" t="s">
        <v>197</v>
      </c>
      <c r="G10" s="162" t="s">
        <v>147</v>
      </c>
      <c r="H10" s="163" t="str">
        <f t="shared" si="1"/>
        <v>UM</v>
      </c>
      <c r="I10" s="163" t="s">
        <v>148</v>
      </c>
      <c r="J10" s="162" t="s">
        <v>185</v>
      </c>
      <c r="K10" s="163" t="s">
        <v>186</v>
      </c>
      <c r="L10" s="163" t="s">
        <v>151</v>
      </c>
      <c r="M10" s="163" t="str">
        <f t="shared" si="19"/>
        <v>PCV13 vs NoVax</v>
      </c>
      <c r="N10" s="159" t="s">
        <v>198</v>
      </c>
      <c r="O10" s="159">
        <v>4</v>
      </c>
      <c r="P10" s="162" t="s">
        <v>148</v>
      </c>
      <c r="Q10" s="164" t="s">
        <v>167</v>
      </c>
      <c r="R10" s="162" t="s">
        <v>168</v>
      </c>
      <c r="S10" s="162" t="s">
        <v>147</v>
      </c>
      <c r="T10" s="161">
        <v>2015</v>
      </c>
      <c r="U10" s="165">
        <v>698</v>
      </c>
      <c r="V10" s="165">
        <f>IF(ISNUMBER(U10),U10/VLOOKUP($S10,xRates!$A$1:$AA$267,data!$T10-xRates!$B$1+2,FALSE),U10)</f>
        <v>112.0837044679008</v>
      </c>
      <c r="W10" s="162" t="s">
        <v>199</v>
      </c>
      <c r="Y10" s="165"/>
      <c r="AA10" s="163" t="s">
        <v>157</v>
      </c>
      <c r="AB10" s="162"/>
      <c r="AD10" s="163" t="s">
        <v>157</v>
      </c>
      <c r="AE10" s="162" t="str">
        <f t="shared" si="2"/>
        <v/>
      </c>
      <c r="AF10" s="163" t="s">
        <v>148</v>
      </c>
      <c r="AG10" s="163" t="s">
        <v>148</v>
      </c>
      <c r="AH10" s="163" t="s">
        <v>148</v>
      </c>
      <c r="AJ10" s="162" t="s">
        <v>200</v>
      </c>
      <c r="AK10" s="162" t="s">
        <v>201</v>
      </c>
      <c r="AL10" s="163" t="s">
        <v>159</v>
      </c>
      <c r="AM10" s="166">
        <v>79304</v>
      </c>
      <c r="AN10" s="166">
        <f>AM10/xRates!$U$43</f>
        <v>12734.507305332958</v>
      </c>
      <c r="AO10" s="166">
        <f t="shared" si="3"/>
        <v>8016.4314350000004</v>
      </c>
      <c r="AP10" s="163" t="str">
        <f t="shared" si="4"/>
        <v>Not Cost-Effective</v>
      </c>
      <c r="AQ10" s="163" t="str">
        <f t="shared" si="20"/>
        <v>Cost-Effective</v>
      </c>
      <c r="AR10" s="167">
        <f t="shared" si="5"/>
        <v>1.5885506423386453</v>
      </c>
      <c r="AS10" s="167">
        <f t="shared" si="6"/>
        <v>0.71</v>
      </c>
      <c r="AT10" s="159" t="str">
        <f t="shared" si="21"/>
        <v>Not Cost-Effective</v>
      </c>
      <c r="AU10" s="167">
        <f t="shared" si="7"/>
        <v>0.45</v>
      </c>
      <c r="AV10" s="162" t="str">
        <f t="shared" si="22"/>
        <v>Not Cost-Effective</v>
      </c>
      <c r="AW10" s="167">
        <f t="shared" si="8"/>
        <v>0.6481168977852142</v>
      </c>
      <c r="AX10" s="159" t="str">
        <f t="shared" si="23"/>
        <v>Not Cost-Effective</v>
      </c>
      <c r="AY10" s="167">
        <f t="shared" si="9"/>
        <v>0.16395220864852342</v>
      </c>
      <c r="AZ10" s="159" t="str">
        <f t="shared" si="24"/>
        <v>Not Cost-Effective</v>
      </c>
      <c r="BA10" s="167">
        <f t="shared" si="10"/>
        <v>0.90271550536772804</v>
      </c>
      <c r="BB10" s="159" t="str">
        <f t="shared" si="25"/>
        <v>Not Cost-Effective</v>
      </c>
      <c r="BC10" s="167">
        <f t="shared" si="11"/>
        <v>0.37411874444365267</v>
      </c>
      <c r="BD10" s="159" t="str">
        <f t="shared" si="26"/>
        <v>Not Cost-Effective</v>
      </c>
      <c r="BE10" s="162" t="s">
        <v>202</v>
      </c>
      <c r="BF10" s="162" t="s">
        <v>174</v>
      </c>
      <c r="BG10" s="168">
        <f t="shared" si="12"/>
        <v>1</v>
      </c>
      <c r="BH10" s="168">
        <f t="shared" si="13"/>
        <v>1</v>
      </c>
      <c r="BI10" s="163">
        <f t="shared" si="14"/>
        <v>1</v>
      </c>
      <c r="BJ10" s="163">
        <f t="shared" si="15"/>
        <v>1</v>
      </c>
      <c r="BK10" s="163">
        <f t="shared" si="27"/>
        <v>1</v>
      </c>
      <c r="BL10" s="163">
        <f t="shared" si="28"/>
        <v>1</v>
      </c>
      <c r="BM10" s="163">
        <f t="shared" si="29"/>
        <v>6</v>
      </c>
      <c r="BN10" s="163" t="s">
        <v>157</v>
      </c>
      <c r="BO10" s="162" t="str">
        <f t="shared" si="16"/>
        <v/>
      </c>
      <c r="BP10" s="162" t="s">
        <v>279</v>
      </c>
      <c r="BQ10" s="162" t="s">
        <v>1425</v>
      </c>
    </row>
    <row r="11" spans="1:70">
      <c r="A11" s="159">
        <f t="shared" si="17"/>
        <v>5</v>
      </c>
      <c r="B11" s="159">
        <f t="shared" si="18"/>
        <v>2</v>
      </c>
      <c r="C11" s="160" t="str">
        <f t="shared" si="0"/>
        <v>0502</v>
      </c>
      <c r="D11" s="159" t="s">
        <v>196</v>
      </c>
      <c r="E11" s="159">
        <v>2018</v>
      </c>
      <c r="F11" s="162" t="s">
        <v>197</v>
      </c>
      <c r="G11" s="162" t="s">
        <v>147</v>
      </c>
      <c r="H11" s="163" t="str">
        <f t="shared" ref="H11" si="30">VLOOKUP(G11,income,T11-1985,FALSE)</f>
        <v>UM</v>
      </c>
      <c r="I11" s="163" t="s">
        <v>148</v>
      </c>
      <c r="J11" s="162" t="s">
        <v>185</v>
      </c>
      <c r="K11" s="163" t="s">
        <v>186</v>
      </c>
      <c r="L11" s="163" t="s">
        <v>151</v>
      </c>
      <c r="M11" s="163" t="str">
        <f t="shared" si="19"/>
        <v>PCV13 vs NoVax</v>
      </c>
      <c r="N11" s="162" t="s">
        <v>198</v>
      </c>
      <c r="O11" s="159">
        <v>4</v>
      </c>
      <c r="P11" s="162" t="s">
        <v>148</v>
      </c>
      <c r="Q11" s="162" t="s">
        <v>167</v>
      </c>
      <c r="R11" s="162" t="s">
        <v>168</v>
      </c>
      <c r="S11" s="162" t="s">
        <v>147</v>
      </c>
      <c r="T11" s="159">
        <v>2015</v>
      </c>
      <c r="U11" s="165">
        <v>698</v>
      </c>
      <c r="V11" s="165">
        <f>IF(ISNUMBER(U11),U11/VLOOKUP($S11,xRates!$A$1:$AA$267,data!$T11-xRates!$B$1+2,FALSE),U11)</f>
        <v>112.0837044679008</v>
      </c>
      <c r="W11" s="162" t="s">
        <v>199</v>
      </c>
      <c r="Y11" s="165"/>
      <c r="AA11" s="163" t="s">
        <v>148</v>
      </c>
      <c r="AB11" s="162" t="s">
        <v>203</v>
      </c>
      <c r="AC11" s="162" t="s">
        <v>148</v>
      </c>
      <c r="AD11" s="163" t="s">
        <v>157</v>
      </c>
      <c r="AE11" s="162" t="str">
        <f t="shared" si="2"/>
        <v/>
      </c>
      <c r="AF11" s="163" t="s">
        <v>148</v>
      </c>
      <c r="AG11" s="163" t="s">
        <v>148</v>
      </c>
      <c r="AH11" s="163" t="s">
        <v>148</v>
      </c>
      <c r="AJ11" s="162" t="s">
        <v>200</v>
      </c>
      <c r="AK11" s="162" t="s">
        <v>204</v>
      </c>
      <c r="AL11" s="163" t="s">
        <v>159</v>
      </c>
      <c r="AM11" s="166">
        <v>76551</v>
      </c>
      <c r="AN11" s="166">
        <f>AM11/xRates!$U$43</f>
        <v>12292.435044014719</v>
      </c>
      <c r="AO11" s="166">
        <f t="shared" si="3"/>
        <v>8016.4314350000004</v>
      </c>
      <c r="AP11" s="163" t="str">
        <f t="shared" si="4"/>
        <v>Not Cost-Effective</v>
      </c>
      <c r="AQ11" s="163" t="str">
        <f t="shared" si="20"/>
        <v>Cost-Effective</v>
      </c>
      <c r="AR11" s="167">
        <f t="shared" si="5"/>
        <v>1.5334048751849292</v>
      </c>
      <c r="AS11" s="167">
        <f t="shared" si="6"/>
        <v>0.71</v>
      </c>
      <c r="AT11" s="159" t="str">
        <f t="shared" si="21"/>
        <v>Not Cost-Effective</v>
      </c>
      <c r="AU11" s="167">
        <f t="shared" si="7"/>
        <v>0.45</v>
      </c>
      <c r="AV11" s="162" t="str">
        <f t="shared" si="22"/>
        <v>Not Cost-Effective</v>
      </c>
      <c r="AW11" s="167">
        <f t="shared" si="8"/>
        <v>0.6481168977852142</v>
      </c>
      <c r="AX11" s="159" t="str">
        <f t="shared" si="23"/>
        <v>Not Cost-Effective</v>
      </c>
      <c r="AY11" s="167">
        <f t="shared" si="9"/>
        <v>0.16395220864852342</v>
      </c>
      <c r="AZ11" s="159" t="str">
        <f t="shared" si="24"/>
        <v>Not Cost-Effective</v>
      </c>
      <c r="BA11" s="167">
        <f t="shared" si="10"/>
        <v>0.90271550536772804</v>
      </c>
      <c r="BB11" s="159" t="str">
        <f t="shared" si="25"/>
        <v>Not Cost-Effective</v>
      </c>
      <c r="BC11" s="167">
        <f t="shared" si="11"/>
        <v>0.37411874444365267</v>
      </c>
      <c r="BD11" s="159" t="str">
        <f t="shared" si="26"/>
        <v>Not Cost-Effective</v>
      </c>
      <c r="BE11" s="162" t="s">
        <v>202</v>
      </c>
      <c r="BF11" s="162" t="s">
        <v>174</v>
      </c>
      <c r="BG11" s="168">
        <f t="shared" si="12"/>
        <v>1</v>
      </c>
      <c r="BH11" s="168">
        <f t="shared" si="13"/>
        <v>1</v>
      </c>
      <c r="BI11" s="163">
        <f t="shared" si="14"/>
        <v>1</v>
      </c>
      <c r="BJ11" s="163">
        <f t="shared" si="15"/>
        <v>1</v>
      </c>
      <c r="BK11" s="163">
        <f t="shared" si="27"/>
        <v>1</v>
      </c>
      <c r="BL11" s="163">
        <f t="shared" si="28"/>
        <v>1</v>
      </c>
      <c r="BM11" s="163">
        <f t="shared" si="29"/>
        <v>6</v>
      </c>
      <c r="BN11" s="163" t="s">
        <v>157</v>
      </c>
      <c r="BO11" s="162" t="str">
        <f t="shared" si="16"/>
        <v/>
      </c>
      <c r="BP11" s="162" t="s">
        <v>279</v>
      </c>
      <c r="BQ11" s="162" t="s">
        <v>1425</v>
      </c>
    </row>
    <row r="12" spans="1:70">
      <c r="A12" s="159">
        <f t="shared" si="17"/>
        <v>5</v>
      </c>
      <c r="B12" s="159">
        <f t="shared" si="18"/>
        <v>3</v>
      </c>
      <c r="C12" s="160" t="str">
        <f t="shared" si="0"/>
        <v>0503</v>
      </c>
      <c r="D12" s="159" t="s">
        <v>196</v>
      </c>
      <c r="E12" s="161">
        <v>2018</v>
      </c>
      <c r="F12" s="162" t="s">
        <v>197</v>
      </c>
      <c r="G12" s="162" t="s">
        <v>147</v>
      </c>
      <c r="H12" s="163" t="str">
        <f t="shared" si="1"/>
        <v>UM</v>
      </c>
      <c r="I12" s="163" t="s">
        <v>148</v>
      </c>
      <c r="J12" s="162" t="s">
        <v>185</v>
      </c>
      <c r="K12" s="163" t="s">
        <v>186</v>
      </c>
      <c r="L12" s="163" t="s">
        <v>151</v>
      </c>
      <c r="M12" s="163" t="str">
        <f t="shared" si="19"/>
        <v>PCV13 vs NoVax</v>
      </c>
      <c r="N12" s="159" t="s">
        <v>198</v>
      </c>
      <c r="O12" s="159">
        <v>4</v>
      </c>
      <c r="P12" s="162" t="s">
        <v>148</v>
      </c>
      <c r="Q12" s="164" t="s">
        <v>167</v>
      </c>
      <c r="R12" s="162" t="s">
        <v>168</v>
      </c>
      <c r="S12" s="162" t="s">
        <v>147</v>
      </c>
      <c r="T12" s="161">
        <v>2015</v>
      </c>
      <c r="U12" s="165">
        <v>698</v>
      </c>
      <c r="V12" s="165">
        <f>IF(ISNUMBER(U12),U12/VLOOKUP($S12,xRates!$A$1:$AA$267,data!$T12-xRates!$B$1+2,FALSE),U12)</f>
        <v>112.0837044679008</v>
      </c>
      <c r="W12" s="162" t="s">
        <v>199</v>
      </c>
      <c r="Y12" s="165"/>
      <c r="AA12" s="163" t="s">
        <v>148</v>
      </c>
      <c r="AB12" s="162" t="s">
        <v>205</v>
      </c>
      <c r="AC12" s="162" t="s">
        <v>148</v>
      </c>
      <c r="AD12" s="163" t="s">
        <v>157</v>
      </c>
      <c r="AE12" s="162" t="str">
        <f t="shared" si="2"/>
        <v/>
      </c>
      <c r="AF12" s="163" t="s">
        <v>148</v>
      </c>
      <c r="AG12" s="163" t="s">
        <v>148</v>
      </c>
      <c r="AH12" s="163" t="s">
        <v>148</v>
      </c>
      <c r="AJ12" s="162" t="s">
        <v>200</v>
      </c>
      <c r="AK12" s="162" t="s">
        <v>206</v>
      </c>
      <c r="AL12" s="163" t="s">
        <v>159</v>
      </c>
      <c r="AM12" s="166">
        <v>3777</v>
      </c>
      <c r="AN12" s="166">
        <f>AM12/xRates!$U$43</f>
        <v>606.50451543733709</v>
      </c>
      <c r="AO12" s="166">
        <f t="shared" si="3"/>
        <v>8016.4314350000004</v>
      </c>
      <c r="AP12" s="163" t="str">
        <f t="shared" si="4"/>
        <v>Cost-Effective</v>
      </c>
      <c r="AQ12" s="163" t="str">
        <f t="shared" si="20"/>
        <v>Cost-Effective</v>
      </c>
      <c r="AR12" s="167">
        <f t="shared" si="5"/>
        <v>7.5657668921026211E-2</v>
      </c>
      <c r="AS12" s="167">
        <f t="shared" si="6"/>
        <v>0.71</v>
      </c>
      <c r="AT12" s="159" t="str">
        <f t="shared" si="21"/>
        <v>Cost-Effective</v>
      </c>
      <c r="AU12" s="167">
        <f t="shared" si="7"/>
        <v>0.45</v>
      </c>
      <c r="AV12" s="162" t="str">
        <f t="shared" si="22"/>
        <v>Cost-Effective</v>
      </c>
      <c r="AW12" s="167">
        <f t="shared" si="8"/>
        <v>0.6481168977852142</v>
      </c>
      <c r="AX12" s="159" t="str">
        <f t="shared" si="23"/>
        <v>Cost-Effective</v>
      </c>
      <c r="AY12" s="167">
        <f t="shared" si="9"/>
        <v>0.16395220864852342</v>
      </c>
      <c r="AZ12" s="159" t="str">
        <f t="shared" si="24"/>
        <v>Cost-Effective</v>
      </c>
      <c r="BA12" s="167">
        <f t="shared" si="10"/>
        <v>0.90271550536772804</v>
      </c>
      <c r="BB12" s="159" t="str">
        <f t="shared" si="25"/>
        <v>Cost-Effective</v>
      </c>
      <c r="BC12" s="167">
        <f t="shared" si="11"/>
        <v>0.37411874444365267</v>
      </c>
      <c r="BD12" s="159" t="str">
        <f t="shared" si="26"/>
        <v>Cost-Effective</v>
      </c>
      <c r="BE12" s="162" t="s">
        <v>202</v>
      </c>
      <c r="BF12" s="162" t="s">
        <v>174</v>
      </c>
      <c r="BG12" s="168">
        <f t="shared" si="12"/>
        <v>0</v>
      </c>
      <c r="BH12" s="168">
        <f t="shared" si="13"/>
        <v>0</v>
      </c>
      <c r="BI12" s="163">
        <f t="shared" si="14"/>
        <v>0</v>
      </c>
      <c r="BJ12" s="163">
        <f t="shared" si="15"/>
        <v>0</v>
      </c>
      <c r="BK12" s="163">
        <f t="shared" si="27"/>
        <v>0</v>
      </c>
      <c r="BL12" s="163">
        <f t="shared" si="28"/>
        <v>0</v>
      </c>
      <c r="BM12" s="163">
        <f t="shared" si="29"/>
        <v>0</v>
      </c>
      <c r="BN12" s="163" t="s">
        <v>157</v>
      </c>
      <c r="BO12" s="162" t="str">
        <f t="shared" si="16"/>
        <v/>
      </c>
      <c r="BP12" s="162" t="s">
        <v>279</v>
      </c>
      <c r="BQ12" s="162" t="s">
        <v>1425</v>
      </c>
    </row>
    <row r="13" spans="1:70">
      <c r="A13" s="159">
        <f t="shared" si="17"/>
        <v>6</v>
      </c>
      <c r="B13" s="159">
        <f t="shared" si="18"/>
        <v>1</v>
      </c>
      <c r="C13" s="160" t="str">
        <f t="shared" si="0"/>
        <v>0601</v>
      </c>
      <c r="D13" s="159" t="s">
        <v>207</v>
      </c>
      <c r="E13" s="161">
        <v>2018</v>
      </c>
      <c r="F13" s="162" t="s">
        <v>208</v>
      </c>
      <c r="G13" s="162" t="s">
        <v>147</v>
      </c>
      <c r="H13" s="163" t="str">
        <f t="shared" si="1"/>
        <v>UM</v>
      </c>
      <c r="I13" s="163" t="s">
        <v>148</v>
      </c>
      <c r="J13" s="162" t="s">
        <v>185</v>
      </c>
      <c r="K13" s="163" t="s">
        <v>186</v>
      </c>
      <c r="L13" s="163" t="s">
        <v>151</v>
      </c>
      <c r="M13" s="163" t="str">
        <f t="shared" si="19"/>
        <v>PCV13 vs NoVax</v>
      </c>
      <c r="N13" s="159" t="s">
        <v>198</v>
      </c>
      <c r="O13" s="159">
        <v>4</v>
      </c>
      <c r="P13" s="162" t="s">
        <v>157</v>
      </c>
      <c r="Q13" s="164" t="s">
        <v>167</v>
      </c>
      <c r="R13" s="162" t="s">
        <v>154</v>
      </c>
      <c r="S13" s="162" t="s">
        <v>155</v>
      </c>
      <c r="T13" s="161">
        <v>2016</v>
      </c>
      <c r="U13" s="165">
        <v>138.72</v>
      </c>
      <c r="V13" s="165">
        <f>IF(ISNUMBER(U13),U13/VLOOKUP($S13,xRates!$A$1:$AA$267,data!$T13-xRates!$B$1+2,FALSE),U13)</f>
        <v>138.72</v>
      </c>
      <c r="W13" s="162" t="s">
        <v>177</v>
      </c>
      <c r="Y13" s="165"/>
      <c r="AA13" s="163" t="s">
        <v>157</v>
      </c>
      <c r="AB13" s="162"/>
      <c r="AC13" s="162" t="s">
        <v>148</v>
      </c>
      <c r="AD13" s="163" t="s">
        <v>148</v>
      </c>
      <c r="AE13" s="162" t="s">
        <v>177</v>
      </c>
      <c r="AF13" s="163" t="s">
        <v>148</v>
      </c>
      <c r="AG13" s="163" t="s">
        <v>148</v>
      </c>
      <c r="AH13" s="163" t="s">
        <v>148</v>
      </c>
      <c r="AJ13" s="162"/>
      <c r="AK13" s="162" t="s">
        <v>209</v>
      </c>
      <c r="AL13" s="163" t="s">
        <v>159</v>
      </c>
      <c r="AM13" s="166">
        <v>20709</v>
      </c>
      <c r="AN13" s="166">
        <v>20709</v>
      </c>
      <c r="AO13" s="166">
        <f t="shared" si="3"/>
        <v>8094.3633669999999</v>
      </c>
      <c r="AP13" s="163" t="str">
        <f t="shared" si="4"/>
        <v>Not Cost-Effective</v>
      </c>
      <c r="AQ13" s="163" t="str">
        <f t="shared" si="20"/>
        <v>Cost-Effective</v>
      </c>
      <c r="AR13" s="167">
        <f t="shared" si="5"/>
        <v>2.5584470403724096</v>
      </c>
      <c r="AS13" s="167">
        <f t="shared" si="6"/>
        <v>0.71</v>
      </c>
      <c r="AT13" s="159" t="str">
        <f t="shared" si="21"/>
        <v>Not Cost-Effective</v>
      </c>
      <c r="AU13" s="167">
        <f t="shared" si="7"/>
        <v>0.45</v>
      </c>
      <c r="AV13" s="162" t="str">
        <f t="shared" si="22"/>
        <v>Not Cost-Effective</v>
      </c>
      <c r="AW13" s="167">
        <f t="shared" si="8"/>
        <v>0.6481168977852142</v>
      </c>
      <c r="AX13" s="159" t="str">
        <f t="shared" si="23"/>
        <v>Not Cost-Effective</v>
      </c>
      <c r="AY13" s="167">
        <f t="shared" si="9"/>
        <v>0.16395220864852342</v>
      </c>
      <c r="AZ13" s="159" t="str">
        <f t="shared" si="24"/>
        <v>Not Cost-Effective</v>
      </c>
      <c r="BA13" s="167">
        <f t="shared" si="10"/>
        <v>0.90271550536772804</v>
      </c>
      <c r="BB13" s="159" t="str">
        <f t="shared" si="25"/>
        <v>Not Cost-Effective</v>
      </c>
      <c r="BC13" s="167">
        <f t="shared" si="11"/>
        <v>0.37411874444365267</v>
      </c>
      <c r="BD13" s="159" t="str">
        <f t="shared" si="26"/>
        <v>Not Cost-Effective</v>
      </c>
      <c r="BE13" s="162" t="s">
        <v>210</v>
      </c>
      <c r="BF13" s="162" t="s">
        <v>174</v>
      </c>
      <c r="BG13" s="168">
        <f t="shared" si="12"/>
        <v>1</v>
      </c>
      <c r="BH13" s="168">
        <f t="shared" si="13"/>
        <v>1</v>
      </c>
      <c r="BI13" s="163">
        <f t="shared" si="14"/>
        <v>1</v>
      </c>
      <c r="BJ13" s="163">
        <f t="shared" si="15"/>
        <v>1</v>
      </c>
      <c r="BK13" s="163">
        <f t="shared" si="27"/>
        <v>1</v>
      </c>
      <c r="BL13" s="163">
        <f t="shared" si="28"/>
        <v>1</v>
      </c>
      <c r="BM13" s="163">
        <f t="shared" si="29"/>
        <v>6</v>
      </c>
      <c r="BN13" s="163" t="s">
        <v>157</v>
      </c>
      <c r="BO13" s="162" t="str">
        <f t="shared" si="16"/>
        <v/>
      </c>
      <c r="BP13" s="162" t="s">
        <v>1404</v>
      </c>
      <c r="BQ13" s="162" t="s">
        <v>1427</v>
      </c>
    </row>
    <row r="14" spans="1:70">
      <c r="A14" s="159">
        <f t="shared" si="17"/>
        <v>6</v>
      </c>
      <c r="B14" s="159">
        <f t="shared" si="18"/>
        <v>2</v>
      </c>
      <c r="C14" s="160" t="str">
        <f t="shared" si="0"/>
        <v>0602</v>
      </c>
      <c r="D14" s="159" t="s">
        <v>207</v>
      </c>
      <c r="E14" s="161">
        <v>2018</v>
      </c>
      <c r="F14" s="162" t="s">
        <v>208</v>
      </c>
      <c r="G14" s="162" t="s">
        <v>147</v>
      </c>
      <c r="H14" s="163" t="str">
        <f t="shared" si="1"/>
        <v>UM</v>
      </c>
      <c r="I14" s="163" t="s">
        <v>148</v>
      </c>
      <c r="J14" s="162" t="s">
        <v>185</v>
      </c>
      <c r="K14" s="163" t="s">
        <v>186</v>
      </c>
      <c r="L14" s="163" t="s">
        <v>151</v>
      </c>
      <c r="M14" s="163" t="str">
        <f t="shared" si="19"/>
        <v>PCV13 vs NoVax</v>
      </c>
      <c r="N14" s="159" t="s">
        <v>198</v>
      </c>
      <c r="O14" s="159">
        <v>4</v>
      </c>
      <c r="P14" s="162" t="s">
        <v>148</v>
      </c>
      <c r="Q14" s="164" t="s">
        <v>153</v>
      </c>
      <c r="R14" s="162" t="s">
        <v>154</v>
      </c>
      <c r="S14" s="162" t="s">
        <v>155</v>
      </c>
      <c r="T14" s="161">
        <v>2016</v>
      </c>
      <c r="U14" s="165">
        <v>138.72</v>
      </c>
      <c r="V14" s="165">
        <f>IF(ISNUMBER(U14),U14/VLOOKUP($S14,xRates!$A$1:$AA$267,data!$T14-xRates!$B$1+2,FALSE),U14)</f>
        <v>138.72</v>
      </c>
      <c r="W14" s="162" t="s">
        <v>177</v>
      </c>
      <c r="Y14" s="165"/>
      <c r="AA14" s="163" t="s">
        <v>157</v>
      </c>
      <c r="AB14" s="162"/>
      <c r="AD14" s="163" t="s">
        <v>148</v>
      </c>
      <c r="AE14" s="162" t="s">
        <v>177</v>
      </c>
      <c r="AF14" s="163" t="s">
        <v>148</v>
      </c>
      <c r="AG14" s="163" t="s">
        <v>148</v>
      </c>
      <c r="AH14" s="163" t="s">
        <v>148</v>
      </c>
      <c r="AJ14" s="162"/>
      <c r="AK14" s="162" t="s">
        <v>211</v>
      </c>
      <c r="AL14" s="163" t="s">
        <v>159</v>
      </c>
      <c r="AM14" s="166">
        <v>18483</v>
      </c>
      <c r="AN14" s="166">
        <v>18483</v>
      </c>
      <c r="AO14" s="166">
        <f t="shared" si="3"/>
        <v>8094.3633669999999</v>
      </c>
      <c r="AP14" s="163" t="str">
        <f t="shared" si="4"/>
        <v>Not Cost-Effective</v>
      </c>
      <c r="AQ14" s="163" t="str">
        <f t="shared" si="20"/>
        <v>Cost-Effective</v>
      </c>
      <c r="AR14" s="167">
        <f t="shared" si="5"/>
        <v>2.2834408540829223</v>
      </c>
      <c r="AS14" s="167">
        <f t="shared" si="6"/>
        <v>0.71</v>
      </c>
      <c r="AT14" s="159" t="str">
        <f t="shared" si="21"/>
        <v>Not Cost-Effective</v>
      </c>
      <c r="AU14" s="167">
        <f t="shared" si="7"/>
        <v>0.45</v>
      </c>
      <c r="AV14" s="162" t="str">
        <f t="shared" si="22"/>
        <v>Not Cost-Effective</v>
      </c>
      <c r="AW14" s="167">
        <f t="shared" si="8"/>
        <v>0.6481168977852142</v>
      </c>
      <c r="AX14" s="159" t="str">
        <f t="shared" si="23"/>
        <v>Not Cost-Effective</v>
      </c>
      <c r="AY14" s="167">
        <f t="shared" si="9"/>
        <v>0.16395220864852342</v>
      </c>
      <c r="AZ14" s="159" t="str">
        <f t="shared" si="24"/>
        <v>Not Cost-Effective</v>
      </c>
      <c r="BA14" s="167">
        <f t="shared" si="10"/>
        <v>0.90271550536772804</v>
      </c>
      <c r="BB14" s="159" t="str">
        <f t="shared" si="25"/>
        <v>Not Cost-Effective</v>
      </c>
      <c r="BC14" s="167">
        <f t="shared" si="11"/>
        <v>0.37411874444365267</v>
      </c>
      <c r="BD14" s="159" t="str">
        <f t="shared" si="26"/>
        <v>Not Cost-Effective</v>
      </c>
      <c r="BE14" s="162" t="s">
        <v>210</v>
      </c>
      <c r="BF14" s="162" t="s">
        <v>174</v>
      </c>
      <c r="BG14" s="168">
        <f t="shared" si="12"/>
        <v>1</v>
      </c>
      <c r="BH14" s="168">
        <f t="shared" si="13"/>
        <v>1</v>
      </c>
      <c r="BI14" s="163">
        <f t="shared" si="14"/>
        <v>1</v>
      </c>
      <c r="BJ14" s="163">
        <f t="shared" si="15"/>
        <v>1</v>
      </c>
      <c r="BK14" s="163">
        <f t="shared" si="27"/>
        <v>1</v>
      </c>
      <c r="BL14" s="163">
        <f t="shared" si="28"/>
        <v>1</v>
      </c>
      <c r="BM14" s="163">
        <f t="shared" si="29"/>
        <v>6</v>
      </c>
      <c r="BN14" s="163" t="s">
        <v>157</v>
      </c>
      <c r="BO14" s="162" t="str">
        <f t="shared" si="16"/>
        <v/>
      </c>
      <c r="BP14" s="162" t="s">
        <v>1404</v>
      </c>
      <c r="BQ14" s="162" t="s">
        <v>1427</v>
      </c>
    </row>
    <row r="15" spans="1:70">
      <c r="A15" s="159">
        <f t="shared" si="17"/>
        <v>7</v>
      </c>
      <c r="B15" s="159">
        <f t="shared" si="18"/>
        <v>1</v>
      </c>
      <c r="C15" s="160" t="str">
        <f t="shared" si="0"/>
        <v>0701</v>
      </c>
      <c r="D15" s="159" t="s">
        <v>212</v>
      </c>
      <c r="E15" s="161">
        <v>2011</v>
      </c>
      <c r="F15" s="162" t="s">
        <v>213</v>
      </c>
      <c r="G15" s="162" t="s">
        <v>214</v>
      </c>
      <c r="H15" s="163" t="str">
        <f t="shared" si="1"/>
        <v>UM</v>
      </c>
      <c r="I15" s="163" t="s">
        <v>148</v>
      </c>
      <c r="J15" s="162" t="s">
        <v>149</v>
      </c>
      <c r="K15" s="163" t="s">
        <v>150</v>
      </c>
      <c r="L15" s="163" t="s">
        <v>151</v>
      </c>
      <c r="M15" s="163" t="str">
        <f t="shared" si="19"/>
        <v>PCV7 vs NoVax</v>
      </c>
      <c r="N15" s="159" t="s">
        <v>166</v>
      </c>
      <c r="O15" s="159">
        <v>4</v>
      </c>
      <c r="P15" s="162" t="s">
        <v>148</v>
      </c>
      <c r="Q15" s="164" t="s">
        <v>167</v>
      </c>
      <c r="R15" s="162" t="s">
        <v>215</v>
      </c>
      <c r="S15" s="162" t="s">
        <v>214</v>
      </c>
      <c r="T15" s="161">
        <v>2007</v>
      </c>
      <c r="U15" s="165">
        <v>222</v>
      </c>
      <c r="V15" s="165">
        <f>IF(ISNUMBER(U15),U15/VLOOKUP($S15,xRates!$A$1:$AA$267,data!$T15-xRates!$B$1+2,FALSE),U15)</f>
        <v>64.580514693172105</v>
      </c>
      <c r="W15" s="162" t="s">
        <v>216</v>
      </c>
      <c r="Y15" s="165"/>
      <c r="AA15" s="163" t="s">
        <v>148</v>
      </c>
      <c r="AB15" s="162" t="s">
        <v>217</v>
      </c>
      <c r="AC15" s="162" t="s">
        <v>148</v>
      </c>
      <c r="AD15" s="163" t="s">
        <v>157</v>
      </c>
      <c r="AE15" s="162" t="str">
        <f t="shared" ref="AE15:AE36" si="31">IF(AD15="No", "", "")</f>
        <v/>
      </c>
      <c r="AF15" s="163" t="s">
        <v>148</v>
      </c>
      <c r="AG15" s="163" t="s">
        <v>148</v>
      </c>
      <c r="AH15" s="163" t="s">
        <v>148</v>
      </c>
      <c r="AJ15" s="162" t="s">
        <v>171</v>
      </c>
      <c r="AK15" s="162" t="s">
        <v>218</v>
      </c>
      <c r="AL15" s="163" t="s">
        <v>159</v>
      </c>
      <c r="AM15" s="166">
        <v>35196</v>
      </c>
      <c r="AN15" s="166">
        <f>AM15/xRates!M122</f>
        <v>10238.629707841827</v>
      </c>
      <c r="AO15" s="166">
        <f t="shared" si="3"/>
        <v>7243.4568010000003</v>
      </c>
      <c r="AP15" s="163" t="str">
        <f t="shared" si="4"/>
        <v>Not Cost-Effective</v>
      </c>
      <c r="AQ15" s="163" t="str">
        <f t="shared" si="20"/>
        <v>Cost-Effective</v>
      </c>
      <c r="AR15" s="167">
        <f t="shared" si="5"/>
        <v>1.4135004859045097</v>
      </c>
      <c r="AS15" s="167">
        <f t="shared" si="6"/>
        <v>0.75</v>
      </c>
      <c r="AT15" s="159" t="str">
        <f t="shared" si="21"/>
        <v>Not Cost-Effective</v>
      </c>
      <c r="AU15" s="167">
        <f t="shared" si="7"/>
        <v>0.45</v>
      </c>
      <c r="AV15" s="162" t="str">
        <f t="shared" si="22"/>
        <v>Not Cost-Effective</v>
      </c>
      <c r="AW15" s="167">
        <f t="shared" si="8"/>
        <v>0.56444312933505247</v>
      </c>
      <c r="AX15" s="159" t="str">
        <f t="shared" si="23"/>
        <v>Not Cost-Effective</v>
      </c>
      <c r="AY15" s="167">
        <f t="shared" si="9"/>
        <v>0.31731694657870113</v>
      </c>
      <c r="AZ15" s="159" t="str">
        <f t="shared" si="24"/>
        <v>Not Cost-Effective</v>
      </c>
      <c r="BA15" s="167">
        <f t="shared" si="10"/>
        <v>0.6686887394303227</v>
      </c>
      <c r="BB15" s="159" t="str">
        <f t="shared" si="25"/>
        <v>Not Cost-Effective</v>
      </c>
      <c r="BC15" s="167">
        <f t="shared" si="11"/>
        <v>0.2771843839443679</v>
      </c>
      <c r="BD15" s="159" t="str">
        <f t="shared" si="26"/>
        <v>Not Cost-Effective</v>
      </c>
      <c r="BE15" s="162" t="s">
        <v>173</v>
      </c>
      <c r="BF15" s="162" t="s">
        <v>174</v>
      </c>
      <c r="BG15" s="168">
        <f t="shared" si="12"/>
        <v>1</v>
      </c>
      <c r="BH15" s="168">
        <f t="shared" si="13"/>
        <v>1</v>
      </c>
      <c r="BI15" s="163">
        <f t="shared" si="14"/>
        <v>1</v>
      </c>
      <c r="BJ15" s="163">
        <f t="shared" si="15"/>
        <v>1</v>
      </c>
      <c r="BK15" s="163">
        <f t="shared" si="27"/>
        <v>1</v>
      </c>
      <c r="BL15" s="163">
        <f t="shared" si="28"/>
        <v>1</v>
      </c>
      <c r="BM15" s="163">
        <f t="shared" si="29"/>
        <v>6</v>
      </c>
      <c r="BN15" s="163" t="s">
        <v>157</v>
      </c>
      <c r="BO15" s="162" t="str">
        <f t="shared" si="16"/>
        <v/>
      </c>
      <c r="BP15" s="162" t="s">
        <v>279</v>
      </c>
      <c r="BQ15" s="162" t="s">
        <v>1425</v>
      </c>
    </row>
    <row r="16" spans="1:70">
      <c r="A16" s="159">
        <f t="shared" si="17"/>
        <v>8</v>
      </c>
      <c r="B16" s="159">
        <f t="shared" si="18"/>
        <v>1</v>
      </c>
      <c r="C16" s="160" t="str">
        <f t="shared" si="0"/>
        <v>0801</v>
      </c>
      <c r="D16" s="159" t="s">
        <v>212</v>
      </c>
      <c r="E16" s="161">
        <v>2014</v>
      </c>
      <c r="F16" s="162" t="s">
        <v>219</v>
      </c>
      <c r="G16" s="162" t="s">
        <v>214</v>
      </c>
      <c r="H16" s="163" t="str">
        <f t="shared" si="1"/>
        <v>UM</v>
      </c>
      <c r="I16" s="163" t="s">
        <v>148</v>
      </c>
      <c r="J16" s="162" t="s">
        <v>182</v>
      </c>
      <c r="K16" s="163" t="s">
        <v>183</v>
      </c>
      <c r="L16" s="163" t="s">
        <v>151</v>
      </c>
      <c r="M16" s="163" t="str">
        <f t="shared" si="19"/>
        <v>PCV10 vs NoVax</v>
      </c>
      <c r="N16" s="159" t="s">
        <v>198</v>
      </c>
      <c r="O16" s="159">
        <v>4</v>
      </c>
      <c r="P16" s="162" t="s">
        <v>148</v>
      </c>
      <c r="Q16" s="164" t="s">
        <v>167</v>
      </c>
      <c r="R16" s="162" t="s">
        <v>154</v>
      </c>
      <c r="S16" s="162" t="s">
        <v>155</v>
      </c>
      <c r="T16" s="161">
        <v>2010</v>
      </c>
      <c r="U16" s="165" t="s">
        <v>178</v>
      </c>
      <c r="V16" s="165" t="str">
        <f>IF(ISNUMBER(U16),U16/VLOOKUP($S16,xRates!$A$1:$AA$267,data!$T16-xRates!$B$1+2,FALSE),U16)</f>
        <v>.</v>
      </c>
      <c r="W16" s="162" t="s">
        <v>177</v>
      </c>
      <c r="Y16" s="165"/>
      <c r="AA16" s="163" t="s">
        <v>148</v>
      </c>
      <c r="AB16" s="162" t="s">
        <v>217</v>
      </c>
      <c r="AC16" s="162" t="s">
        <v>148</v>
      </c>
      <c r="AD16" s="163" t="s">
        <v>157</v>
      </c>
      <c r="AE16" s="162" t="str">
        <f t="shared" si="31"/>
        <v/>
      </c>
      <c r="AF16" s="163" t="s">
        <v>148</v>
      </c>
      <c r="AG16" s="163" t="s">
        <v>148</v>
      </c>
      <c r="AH16" s="163" t="s">
        <v>148</v>
      </c>
      <c r="AJ16" s="162" t="s">
        <v>220</v>
      </c>
      <c r="AK16" s="162" t="s">
        <v>221</v>
      </c>
      <c r="AL16" s="163" t="s">
        <v>159</v>
      </c>
      <c r="AM16" s="166">
        <v>9406</v>
      </c>
      <c r="AN16" s="166">
        <v>9046</v>
      </c>
      <c r="AO16" s="166">
        <f t="shared" si="3"/>
        <v>9040.5684949999995</v>
      </c>
      <c r="AP16" s="163" t="str">
        <f t="shared" si="4"/>
        <v>Not Cost-Effective</v>
      </c>
      <c r="AQ16" s="163" t="str">
        <f t="shared" si="20"/>
        <v>Cost-Effective</v>
      </c>
      <c r="AR16" s="167">
        <f t="shared" si="5"/>
        <v>1.0006007924173137</v>
      </c>
      <c r="AS16" s="167">
        <f t="shared" si="6"/>
        <v>0.75</v>
      </c>
      <c r="AT16" s="159" t="str">
        <f t="shared" si="21"/>
        <v>Not Cost-Effective</v>
      </c>
      <c r="AU16" s="167">
        <f t="shared" si="7"/>
        <v>0.45</v>
      </c>
      <c r="AV16" s="162" t="str">
        <f t="shared" si="22"/>
        <v>Not Cost-Effective</v>
      </c>
      <c r="AW16" s="167">
        <f t="shared" si="8"/>
        <v>0.56444312933505247</v>
      </c>
      <c r="AX16" s="159" t="str">
        <f t="shared" si="23"/>
        <v>Not Cost-Effective</v>
      </c>
      <c r="AY16" s="167">
        <f t="shared" si="9"/>
        <v>0.31731694657870113</v>
      </c>
      <c r="AZ16" s="159" t="str">
        <f t="shared" si="24"/>
        <v>Not Cost-Effective</v>
      </c>
      <c r="BA16" s="167">
        <f t="shared" si="10"/>
        <v>0.6686887394303227</v>
      </c>
      <c r="BB16" s="159" t="str">
        <f t="shared" si="25"/>
        <v>Not Cost-Effective</v>
      </c>
      <c r="BC16" s="167">
        <f t="shared" si="11"/>
        <v>0.2771843839443679</v>
      </c>
      <c r="BD16" s="159" t="str">
        <f t="shared" si="26"/>
        <v>Not Cost-Effective</v>
      </c>
      <c r="BE16" s="162" t="s">
        <v>173</v>
      </c>
      <c r="BF16" s="162" t="s">
        <v>174</v>
      </c>
      <c r="BG16" s="168">
        <f t="shared" si="12"/>
        <v>1</v>
      </c>
      <c r="BH16" s="168">
        <f t="shared" si="13"/>
        <v>1</v>
      </c>
      <c r="BI16" s="163">
        <f t="shared" si="14"/>
        <v>1</v>
      </c>
      <c r="BJ16" s="163">
        <f t="shared" si="15"/>
        <v>1</v>
      </c>
      <c r="BK16" s="163">
        <f t="shared" si="27"/>
        <v>1</v>
      </c>
      <c r="BL16" s="163">
        <f t="shared" si="28"/>
        <v>1</v>
      </c>
      <c r="BM16" s="163">
        <f t="shared" si="29"/>
        <v>6</v>
      </c>
      <c r="BN16" s="163" t="s">
        <v>157</v>
      </c>
      <c r="BO16" s="162" t="str">
        <f t="shared" si="16"/>
        <v/>
      </c>
      <c r="BP16" s="162" t="s">
        <v>272</v>
      </c>
      <c r="BQ16" s="162" t="s">
        <v>1425</v>
      </c>
    </row>
    <row r="17" spans="1:70" s="173" customFormat="1">
      <c r="A17" s="159">
        <f t="shared" si="17"/>
        <v>8</v>
      </c>
      <c r="B17" s="159">
        <f t="shared" si="18"/>
        <v>2</v>
      </c>
      <c r="C17" s="170" t="str">
        <f t="shared" si="0"/>
        <v>0802</v>
      </c>
      <c r="D17" s="171" t="s">
        <v>212</v>
      </c>
      <c r="E17" s="172">
        <v>2014</v>
      </c>
      <c r="F17" s="173" t="s">
        <v>219</v>
      </c>
      <c r="G17" s="173" t="s">
        <v>214</v>
      </c>
      <c r="H17" s="174" t="str">
        <f t="shared" si="1"/>
        <v>UM</v>
      </c>
      <c r="I17" s="174" t="s">
        <v>148</v>
      </c>
      <c r="J17" s="173" t="s">
        <v>222</v>
      </c>
      <c r="K17" s="174" t="s">
        <v>186</v>
      </c>
      <c r="L17" s="174" t="s">
        <v>183</v>
      </c>
      <c r="M17" s="163" t="str">
        <f t="shared" si="19"/>
        <v>PCV13 vs PCV10</v>
      </c>
      <c r="N17" s="171" t="s">
        <v>198</v>
      </c>
      <c r="O17" s="171">
        <v>4</v>
      </c>
      <c r="P17" s="173" t="s">
        <v>148</v>
      </c>
      <c r="Q17" s="175" t="s">
        <v>167</v>
      </c>
      <c r="R17" s="173" t="s">
        <v>154</v>
      </c>
      <c r="S17" s="173" t="s">
        <v>155</v>
      </c>
      <c r="T17" s="172">
        <v>2010</v>
      </c>
      <c r="U17" s="176" t="s">
        <v>178</v>
      </c>
      <c r="V17" s="176" t="s">
        <v>178</v>
      </c>
      <c r="W17" s="162" t="s">
        <v>177</v>
      </c>
      <c r="X17" s="162" t="s">
        <v>178</v>
      </c>
      <c r="Y17" s="176" t="s">
        <v>178</v>
      </c>
      <c r="Z17" s="176" t="str">
        <f>IF(ISNUMBER(Y17),Y17/VLOOKUP($S17,xRates!$A$1:$AA$267,data!$T17-xRates!$B$1+2,FALSE),Y17)</f>
        <v>.</v>
      </c>
      <c r="AA17" s="174" t="s">
        <v>148</v>
      </c>
      <c r="AB17" s="173" t="s">
        <v>217</v>
      </c>
      <c r="AC17" s="173" t="s">
        <v>148</v>
      </c>
      <c r="AD17" s="174" t="s">
        <v>157</v>
      </c>
      <c r="AE17" s="173" t="str">
        <f t="shared" si="31"/>
        <v/>
      </c>
      <c r="AF17" s="174" t="s">
        <v>148</v>
      </c>
      <c r="AG17" s="174" t="s">
        <v>148</v>
      </c>
      <c r="AH17" s="174" t="s">
        <v>148</v>
      </c>
      <c r="AI17" s="174"/>
      <c r="AJ17" s="173" t="s">
        <v>220</v>
      </c>
      <c r="AK17" s="173" t="s">
        <v>223</v>
      </c>
      <c r="AL17" s="163" t="s">
        <v>159</v>
      </c>
      <c r="AM17" s="177">
        <v>61061.49</v>
      </c>
      <c r="AN17" s="177">
        <f>AM17</f>
        <v>61061.49</v>
      </c>
      <c r="AO17" s="177">
        <f t="shared" si="3"/>
        <v>9040.5684949999995</v>
      </c>
      <c r="AP17" s="174" t="str">
        <f t="shared" si="4"/>
        <v>Not Cost-Effective</v>
      </c>
      <c r="AQ17" s="174" t="str">
        <f t="shared" si="20"/>
        <v>Not Cost-Effective</v>
      </c>
      <c r="AR17" s="167">
        <f t="shared" si="5"/>
        <v>6.7541648552047171</v>
      </c>
      <c r="AS17" s="167">
        <f t="shared" si="6"/>
        <v>0.75</v>
      </c>
      <c r="AT17" s="159" t="str">
        <f t="shared" si="21"/>
        <v>Not Cost-Effective</v>
      </c>
      <c r="AU17" s="167">
        <f t="shared" si="7"/>
        <v>0.45</v>
      </c>
      <c r="AV17" s="162" t="str">
        <f t="shared" si="22"/>
        <v>Not Cost-Effective</v>
      </c>
      <c r="AW17" s="167">
        <f t="shared" si="8"/>
        <v>0.56444312933505247</v>
      </c>
      <c r="AX17" s="159" t="str">
        <f t="shared" si="23"/>
        <v>Not Cost-Effective</v>
      </c>
      <c r="AY17" s="167">
        <f t="shared" si="9"/>
        <v>0.31731694657870113</v>
      </c>
      <c r="AZ17" s="159" t="str">
        <f t="shared" si="24"/>
        <v>Not Cost-Effective</v>
      </c>
      <c r="BA17" s="167">
        <f t="shared" si="10"/>
        <v>0.6686887394303227</v>
      </c>
      <c r="BB17" s="159" t="str">
        <f t="shared" si="25"/>
        <v>Not Cost-Effective</v>
      </c>
      <c r="BC17" s="167">
        <f t="shared" si="11"/>
        <v>0.2771843839443679</v>
      </c>
      <c r="BD17" s="159" t="str">
        <f t="shared" si="26"/>
        <v>Not Cost-Effective</v>
      </c>
      <c r="BE17" s="173" t="s">
        <v>173</v>
      </c>
      <c r="BF17" s="173" t="s">
        <v>161</v>
      </c>
      <c r="BG17" s="178" t="str">
        <f t="shared" si="12"/>
        <v>.</v>
      </c>
      <c r="BH17" s="178" t="str">
        <f t="shared" si="13"/>
        <v>.</v>
      </c>
      <c r="BI17" s="174" t="str">
        <f t="shared" si="14"/>
        <v>.</v>
      </c>
      <c r="BJ17" s="174" t="str">
        <f t="shared" si="15"/>
        <v>.</v>
      </c>
      <c r="BK17" s="163" t="str">
        <f t="shared" si="27"/>
        <v>.</v>
      </c>
      <c r="BL17" s="163" t="str">
        <f t="shared" si="28"/>
        <v>.</v>
      </c>
      <c r="BM17" s="163">
        <f t="shared" si="29"/>
        <v>0</v>
      </c>
      <c r="BN17" s="174" t="s">
        <v>157</v>
      </c>
      <c r="BO17" s="173" t="str">
        <f t="shared" si="16"/>
        <v/>
      </c>
      <c r="BP17" s="173" t="s">
        <v>272</v>
      </c>
      <c r="BQ17" s="162" t="s">
        <v>1425</v>
      </c>
    </row>
    <row r="18" spans="1:70">
      <c r="A18" s="159">
        <f t="shared" si="17"/>
        <v>9</v>
      </c>
      <c r="B18" s="159">
        <f t="shared" si="18"/>
        <v>1</v>
      </c>
      <c r="C18" s="160" t="str">
        <f t="shared" si="0"/>
        <v>0901</v>
      </c>
      <c r="D18" s="159" t="s">
        <v>83</v>
      </c>
      <c r="E18" s="161">
        <v>2017</v>
      </c>
      <c r="F18" s="162" t="s">
        <v>224</v>
      </c>
      <c r="G18" s="162" t="s">
        <v>214</v>
      </c>
      <c r="H18" s="163" t="str">
        <f t="shared" si="1"/>
        <v>UM</v>
      </c>
      <c r="I18" s="163" t="s">
        <v>148</v>
      </c>
      <c r="J18" s="162" t="s">
        <v>182</v>
      </c>
      <c r="K18" s="163" t="s">
        <v>183</v>
      </c>
      <c r="L18" s="163" t="s">
        <v>151</v>
      </c>
      <c r="M18" s="163" t="str">
        <f t="shared" si="19"/>
        <v>PCV10 vs NoVax</v>
      </c>
      <c r="N18" s="159" t="s">
        <v>152</v>
      </c>
      <c r="O18" s="159">
        <v>3</v>
      </c>
      <c r="P18" s="162" t="s">
        <v>148</v>
      </c>
      <c r="Q18" s="164" t="s">
        <v>167</v>
      </c>
      <c r="R18" s="162" t="s">
        <v>154</v>
      </c>
      <c r="S18" s="162" t="s">
        <v>155</v>
      </c>
      <c r="T18" s="161">
        <v>2014</v>
      </c>
      <c r="U18" s="165">
        <v>34.25</v>
      </c>
      <c r="V18" s="165">
        <f>IF(ISNUMBER(U18),U18/VLOOKUP($S18,xRates!$A$1:$AA$267,data!$T18-xRates!$B$1+2,FALSE),U18)</f>
        <v>34.25</v>
      </c>
      <c r="W18" s="162" t="s">
        <v>225</v>
      </c>
      <c r="Y18" s="165"/>
      <c r="Z18" s="162" t="s">
        <v>225</v>
      </c>
      <c r="AA18" s="163" t="s">
        <v>157</v>
      </c>
      <c r="AB18" s="162"/>
      <c r="AD18" s="163" t="s">
        <v>157</v>
      </c>
      <c r="AE18" s="162" t="str">
        <f t="shared" si="31"/>
        <v/>
      </c>
      <c r="AF18" s="163" t="s">
        <v>148</v>
      </c>
      <c r="AG18" s="163" t="s">
        <v>148</v>
      </c>
      <c r="AH18" s="163" t="s">
        <v>148</v>
      </c>
      <c r="AJ18" s="162" t="s">
        <v>226</v>
      </c>
      <c r="AK18" s="162" t="s">
        <v>227</v>
      </c>
      <c r="AL18" s="163" t="s">
        <v>159</v>
      </c>
      <c r="AM18" s="166">
        <v>28497</v>
      </c>
      <c r="AN18" s="166">
        <v>28497</v>
      </c>
      <c r="AO18" s="166">
        <f t="shared" si="3"/>
        <v>11319.06194</v>
      </c>
      <c r="AP18" s="163" t="str">
        <f t="shared" si="4"/>
        <v>Not Cost-Effective</v>
      </c>
      <c r="AQ18" s="163" t="str">
        <f t="shared" si="20"/>
        <v>Cost-Effective</v>
      </c>
      <c r="AR18" s="167">
        <f t="shared" si="5"/>
        <v>2.5176114550001305</v>
      </c>
      <c r="AS18" s="167">
        <f t="shared" si="6"/>
        <v>0.75</v>
      </c>
      <c r="AT18" s="159" t="str">
        <f t="shared" si="21"/>
        <v>Not Cost-Effective</v>
      </c>
      <c r="AU18" s="167">
        <f t="shared" si="7"/>
        <v>0.45</v>
      </c>
      <c r="AV18" s="162" t="str">
        <f t="shared" si="22"/>
        <v>Not Cost-Effective</v>
      </c>
      <c r="AW18" s="167">
        <f t="shared" si="8"/>
        <v>0.56444312933505247</v>
      </c>
      <c r="AX18" s="159" t="str">
        <f t="shared" si="23"/>
        <v>Not Cost-Effective</v>
      </c>
      <c r="AY18" s="167">
        <f t="shared" si="9"/>
        <v>0.31731694657870113</v>
      </c>
      <c r="AZ18" s="159" t="str">
        <f t="shared" si="24"/>
        <v>Not Cost-Effective</v>
      </c>
      <c r="BA18" s="167">
        <f t="shared" si="10"/>
        <v>0.6686887394303227</v>
      </c>
      <c r="BB18" s="159" t="str">
        <f t="shared" si="25"/>
        <v>Not Cost-Effective</v>
      </c>
      <c r="BC18" s="167">
        <f t="shared" si="11"/>
        <v>0.2771843839443679</v>
      </c>
      <c r="BD18" s="159" t="str">
        <f t="shared" si="26"/>
        <v>Not Cost-Effective</v>
      </c>
      <c r="BE18" s="162" t="s">
        <v>173</v>
      </c>
      <c r="BF18" s="162" t="s">
        <v>174</v>
      </c>
      <c r="BG18" s="168">
        <f t="shared" si="12"/>
        <v>1</v>
      </c>
      <c r="BH18" s="168">
        <f t="shared" si="13"/>
        <v>1</v>
      </c>
      <c r="BI18" s="163">
        <f t="shared" si="14"/>
        <v>1</v>
      </c>
      <c r="BJ18" s="163">
        <f t="shared" si="15"/>
        <v>1</v>
      </c>
      <c r="BK18" s="163">
        <f t="shared" si="27"/>
        <v>1</v>
      </c>
      <c r="BL18" s="163">
        <f t="shared" si="28"/>
        <v>1</v>
      </c>
      <c r="BM18" s="163">
        <f t="shared" si="29"/>
        <v>6</v>
      </c>
      <c r="BN18" s="163" t="s">
        <v>157</v>
      </c>
      <c r="BO18" s="162" t="str">
        <f t="shared" si="16"/>
        <v/>
      </c>
      <c r="BP18" s="162" t="s">
        <v>272</v>
      </c>
      <c r="BQ18" s="162" t="s">
        <v>1425</v>
      </c>
    </row>
    <row r="19" spans="1:70" s="173" customFormat="1">
      <c r="A19" s="159">
        <f t="shared" si="17"/>
        <v>9</v>
      </c>
      <c r="B19" s="159">
        <f t="shared" si="18"/>
        <v>2</v>
      </c>
      <c r="C19" s="170" t="str">
        <f t="shared" si="0"/>
        <v>0902</v>
      </c>
      <c r="D19" s="171" t="s">
        <v>83</v>
      </c>
      <c r="E19" s="172">
        <v>2017</v>
      </c>
      <c r="F19" s="173" t="s">
        <v>224</v>
      </c>
      <c r="G19" s="173" t="s">
        <v>214</v>
      </c>
      <c r="H19" s="174" t="str">
        <f t="shared" si="1"/>
        <v>UM</v>
      </c>
      <c r="I19" s="174" t="s">
        <v>148</v>
      </c>
      <c r="J19" s="173" t="s">
        <v>222</v>
      </c>
      <c r="K19" s="174" t="s">
        <v>186</v>
      </c>
      <c r="L19" s="174" t="s">
        <v>183</v>
      </c>
      <c r="M19" s="163" t="str">
        <f t="shared" si="19"/>
        <v>PCV13 vs PCV10</v>
      </c>
      <c r="N19" s="171" t="s">
        <v>152</v>
      </c>
      <c r="O19" s="171">
        <v>3</v>
      </c>
      <c r="P19" s="173" t="s">
        <v>157</v>
      </c>
      <c r="Q19" s="175" t="s">
        <v>167</v>
      </c>
      <c r="R19" s="173" t="s">
        <v>154</v>
      </c>
      <c r="S19" s="173" t="s">
        <v>155</v>
      </c>
      <c r="T19" s="172">
        <v>2014</v>
      </c>
      <c r="U19" s="176">
        <v>34.25</v>
      </c>
      <c r="V19" s="176">
        <f>IF(ISNUMBER(U19),U19/VLOOKUP($S19,xRates!$A$1:$AA$267,data!$T19-xRates!$B$1+2,FALSE),U19)</f>
        <v>34.25</v>
      </c>
      <c r="W19" s="173" t="s">
        <v>225</v>
      </c>
      <c r="X19" s="171">
        <v>34.25</v>
      </c>
      <c r="Y19" s="176">
        <v>34.25</v>
      </c>
      <c r="Z19" s="173" t="s">
        <v>225</v>
      </c>
      <c r="AA19" s="174" t="s">
        <v>157</v>
      </c>
      <c r="AD19" s="174" t="s">
        <v>157</v>
      </c>
      <c r="AE19" s="173" t="str">
        <f t="shared" si="31"/>
        <v/>
      </c>
      <c r="AF19" s="174" t="s">
        <v>148</v>
      </c>
      <c r="AG19" s="174" t="s">
        <v>148</v>
      </c>
      <c r="AH19" s="174" t="s">
        <v>148</v>
      </c>
      <c r="AI19" s="174"/>
      <c r="AJ19" s="173" t="s">
        <v>226</v>
      </c>
      <c r="AK19" s="173" t="s">
        <v>228</v>
      </c>
      <c r="AL19" s="163" t="s">
        <v>159</v>
      </c>
      <c r="AM19" s="177">
        <v>44907.6</v>
      </c>
      <c r="AN19" s="177">
        <f>AM19</f>
        <v>44907.6</v>
      </c>
      <c r="AO19" s="177">
        <f t="shared" si="3"/>
        <v>11319.06194</v>
      </c>
      <c r="AP19" s="174" t="str">
        <f t="shared" si="4"/>
        <v>Not Cost-Effective</v>
      </c>
      <c r="AQ19" s="174" t="str">
        <f t="shared" si="20"/>
        <v>Not Cost-Effective</v>
      </c>
      <c r="AR19" s="167">
        <f t="shared" si="5"/>
        <v>3.9674312445718449</v>
      </c>
      <c r="AS19" s="167">
        <f t="shared" si="6"/>
        <v>0.75</v>
      </c>
      <c r="AT19" s="159" t="str">
        <f t="shared" si="21"/>
        <v>Not Cost-Effective</v>
      </c>
      <c r="AU19" s="167">
        <f t="shared" si="7"/>
        <v>0.45</v>
      </c>
      <c r="AV19" s="162" t="str">
        <f t="shared" si="22"/>
        <v>Not Cost-Effective</v>
      </c>
      <c r="AW19" s="167">
        <f t="shared" si="8"/>
        <v>0.56444312933505247</v>
      </c>
      <c r="AX19" s="159" t="str">
        <f t="shared" si="23"/>
        <v>Not Cost-Effective</v>
      </c>
      <c r="AY19" s="167">
        <f t="shared" si="9"/>
        <v>0.31731694657870113</v>
      </c>
      <c r="AZ19" s="159" t="str">
        <f t="shared" si="24"/>
        <v>Not Cost-Effective</v>
      </c>
      <c r="BA19" s="167">
        <f t="shared" si="10"/>
        <v>0.6686887394303227</v>
      </c>
      <c r="BB19" s="159" t="str">
        <f t="shared" si="25"/>
        <v>Not Cost-Effective</v>
      </c>
      <c r="BC19" s="167">
        <f t="shared" si="11"/>
        <v>0.2771843839443679</v>
      </c>
      <c r="BD19" s="159" t="str">
        <f t="shared" si="26"/>
        <v>Not Cost-Effective</v>
      </c>
      <c r="BE19" s="173" t="s">
        <v>173</v>
      </c>
      <c r="BF19" s="173" t="s">
        <v>161</v>
      </c>
      <c r="BG19" s="178" t="str">
        <f t="shared" si="12"/>
        <v>.</v>
      </c>
      <c r="BH19" s="178" t="str">
        <f t="shared" si="13"/>
        <v>.</v>
      </c>
      <c r="BI19" s="174" t="str">
        <f t="shared" si="14"/>
        <v>.</v>
      </c>
      <c r="BJ19" s="174" t="str">
        <f t="shared" si="15"/>
        <v>.</v>
      </c>
      <c r="BK19" s="163" t="str">
        <f t="shared" si="27"/>
        <v>.</v>
      </c>
      <c r="BL19" s="163" t="str">
        <f t="shared" si="28"/>
        <v>.</v>
      </c>
      <c r="BM19" s="163">
        <f t="shared" si="29"/>
        <v>0</v>
      </c>
      <c r="BN19" s="174" t="s">
        <v>157</v>
      </c>
      <c r="BO19" s="173" t="str">
        <f t="shared" si="16"/>
        <v/>
      </c>
      <c r="BP19" s="173" t="s">
        <v>272</v>
      </c>
      <c r="BQ19" s="162" t="s">
        <v>1425</v>
      </c>
    </row>
    <row r="20" spans="1:70">
      <c r="A20" s="159">
        <f t="shared" si="17"/>
        <v>10</v>
      </c>
      <c r="B20" s="159">
        <f t="shared" si="18"/>
        <v>1</v>
      </c>
      <c r="C20" s="160" t="str">
        <f t="shared" si="0"/>
        <v>1001</v>
      </c>
      <c r="D20" s="159" t="s">
        <v>229</v>
      </c>
      <c r="E20" s="161">
        <v>2016</v>
      </c>
      <c r="F20" s="162" t="s">
        <v>230</v>
      </c>
      <c r="G20" s="162" t="s">
        <v>214</v>
      </c>
      <c r="H20" s="163" t="str">
        <f t="shared" si="1"/>
        <v>UM</v>
      </c>
      <c r="I20" s="163" t="s">
        <v>148</v>
      </c>
      <c r="J20" s="162" t="s">
        <v>182</v>
      </c>
      <c r="K20" s="163" t="s">
        <v>183</v>
      </c>
      <c r="L20" s="163" t="s">
        <v>151</v>
      </c>
      <c r="M20" s="163" t="str">
        <f t="shared" si="19"/>
        <v>PCV10 vs NoVax</v>
      </c>
      <c r="N20" s="159" t="s">
        <v>198</v>
      </c>
      <c r="O20" s="159">
        <v>4</v>
      </c>
      <c r="P20" s="162" t="s">
        <v>148</v>
      </c>
      <c r="Q20" s="164" t="s">
        <v>167</v>
      </c>
      <c r="R20" s="162" t="s">
        <v>154</v>
      </c>
      <c r="S20" s="162" t="s">
        <v>155</v>
      </c>
      <c r="T20" s="161">
        <v>2014</v>
      </c>
      <c r="U20" s="165">
        <v>55</v>
      </c>
      <c r="V20" s="165">
        <f>IF(ISNUMBER(U20),U20/VLOOKUP($S20,xRates!$A$1:$AA$267,data!$T20-xRates!$B$1+2,FALSE),U20)</f>
        <v>55</v>
      </c>
      <c r="W20" s="162" t="s">
        <v>231</v>
      </c>
      <c r="Y20" s="165"/>
      <c r="AA20" s="163" t="s">
        <v>148</v>
      </c>
      <c r="AB20" s="162" t="s">
        <v>232</v>
      </c>
      <c r="AC20" s="162" t="s">
        <v>148</v>
      </c>
      <c r="AD20" s="163" t="s">
        <v>157</v>
      </c>
      <c r="AE20" s="162" t="str">
        <f t="shared" si="31"/>
        <v/>
      </c>
      <c r="AF20" s="163" t="s">
        <v>148</v>
      </c>
      <c r="AG20" s="163" t="s">
        <v>148</v>
      </c>
      <c r="AH20" s="163" t="s">
        <v>148</v>
      </c>
      <c r="AJ20" s="162" t="s">
        <v>226</v>
      </c>
      <c r="AK20" s="162" t="s">
        <v>233</v>
      </c>
      <c r="AL20" s="163" t="s">
        <v>159</v>
      </c>
      <c r="AM20" s="166">
        <v>21438</v>
      </c>
      <c r="AN20" s="166">
        <v>21438</v>
      </c>
      <c r="AO20" s="166">
        <f t="shared" si="3"/>
        <v>11319.06194</v>
      </c>
      <c r="AP20" s="163" t="str">
        <f t="shared" si="4"/>
        <v>Not Cost-Effective</v>
      </c>
      <c r="AQ20" s="163" t="str">
        <f t="shared" si="20"/>
        <v>Cost-Effective</v>
      </c>
      <c r="AR20" s="167">
        <f t="shared" si="5"/>
        <v>1.8939732032246481</v>
      </c>
      <c r="AS20" s="167">
        <f t="shared" si="6"/>
        <v>0.75</v>
      </c>
      <c r="AT20" s="159" t="str">
        <f t="shared" si="21"/>
        <v>Not Cost-Effective</v>
      </c>
      <c r="AU20" s="167">
        <f t="shared" si="7"/>
        <v>0.45</v>
      </c>
      <c r="AV20" s="162" t="str">
        <f t="shared" si="22"/>
        <v>Not Cost-Effective</v>
      </c>
      <c r="AW20" s="167">
        <f t="shared" si="8"/>
        <v>0.56444312933505247</v>
      </c>
      <c r="AX20" s="159" t="str">
        <f t="shared" si="23"/>
        <v>Not Cost-Effective</v>
      </c>
      <c r="AY20" s="167">
        <f t="shared" si="9"/>
        <v>0.31731694657870113</v>
      </c>
      <c r="AZ20" s="159" t="str">
        <f t="shared" si="24"/>
        <v>Not Cost-Effective</v>
      </c>
      <c r="BA20" s="167">
        <f t="shared" si="10"/>
        <v>0.6686887394303227</v>
      </c>
      <c r="BB20" s="159" t="str">
        <f t="shared" si="25"/>
        <v>Not Cost-Effective</v>
      </c>
      <c r="BC20" s="167">
        <f t="shared" si="11"/>
        <v>0.2771843839443679</v>
      </c>
      <c r="BD20" s="159" t="str">
        <f t="shared" si="26"/>
        <v>Not Cost-Effective</v>
      </c>
      <c r="BE20" s="162" t="s">
        <v>210</v>
      </c>
      <c r="BF20" s="162" t="s">
        <v>161</v>
      </c>
      <c r="BG20" s="168" t="str">
        <f t="shared" si="12"/>
        <v>.</v>
      </c>
      <c r="BH20" s="168" t="str">
        <f t="shared" si="13"/>
        <v>.</v>
      </c>
      <c r="BI20" s="163" t="str">
        <f t="shared" si="14"/>
        <v>.</v>
      </c>
      <c r="BJ20" s="163" t="str">
        <f t="shared" si="15"/>
        <v>.</v>
      </c>
      <c r="BK20" s="163" t="str">
        <f t="shared" si="27"/>
        <v>.</v>
      </c>
      <c r="BL20" s="163" t="str">
        <f t="shared" si="28"/>
        <v>.</v>
      </c>
      <c r="BM20" s="163">
        <f t="shared" si="29"/>
        <v>0</v>
      </c>
      <c r="BN20" s="163" t="s">
        <v>157</v>
      </c>
      <c r="BO20" s="162" t="str">
        <f t="shared" si="16"/>
        <v/>
      </c>
      <c r="BP20" s="162" t="s">
        <v>279</v>
      </c>
      <c r="BQ20" s="162" t="s">
        <v>1425</v>
      </c>
    </row>
    <row r="21" spans="1:70">
      <c r="A21" s="159">
        <f t="shared" si="17"/>
        <v>10</v>
      </c>
      <c r="B21" s="159">
        <f t="shared" si="18"/>
        <v>2</v>
      </c>
      <c r="C21" s="160" t="str">
        <f t="shared" si="0"/>
        <v>1002</v>
      </c>
      <c r="D21" s="159" t="s">
        <v>229</v>
      </c>
      <c r="E21" s="161">
        <v>2016</v>
      </c>
      <c r="F21" s="162" t="s">
        <v>230</v>
      </c>
      <c r="G21" s="162" t="s">
        <v>214</v>
      </c>
      <c r="H21" s="163" t="str">
        <f t="shared" si="1"/>
        <v>UM</v>
      </c>
      <c r="I21" s="163" t="s">
        <v>148</v>
      </c>
      <c r="J21" s="162" t="s">
        <v>182</v>
      </c>
      <c r="K21" s="163" t="s">
        <v>183</v>
      </c>
      <c r="L21" s="163" t="s">
        <v>151</v>
      </c>
      <c r="M21" s="163" t="str">
        <f t="shared" si="19"/>
        <v>PCV10 vs NoVax</v>
      </c>
      <c r="N21" s="159" t="s">
        <v>198</v>
      </c>
      <c r="O21" s="159">
        <v>4</v>
      </c>
      <c r="P21" s="162" t="s">
        <v>148</v>
      </c>
      <c r="Q21" s="164" t="s">
        <v>153</v>
      </c>
      <c r="R21" s="162" t="s">
        <v>154</v>
      </c>
      <c r="S21" s="162" t="s">
        <v>155</v>
      </c>
      <c r="T21" s="161">
        <v>2014</v>
      </c>
      <c r="U21" s="165">
        <v>55</v>
      </c>
      <c r="V21" s="165">
        <f>IF(ISNUMBER(U21),U21/VLOOKUP($S21,xRates!$A$1:$AA$267,data!$T21-xRates!$B$1+2,FALSE),U21)</f>
        <v>55</v>
      </c>
      <c r="W21" s="162" t="s">
        <v>231</v>
      </c>
      <c r="Y21" s="165"/>
      <c r="AA21" s="163" t="s">
        <v>148</v>
      </c>
      <c r="AB21" s="162" t="s">
        <v>232</v>
      </c>
      <c r="AC21" s="162" t="s">
        <v>148</v>
      </c>
      <c r="AD21" s="163" t="s">
        <v>157</v>
      </c>
      <c r="AE21" s="162" t="str">
        <f t="shared" si="31"/>
        <v/>
      </c>
      <c r="AF21" s="163" t="s">
        <v>148</v>
      </c>
      <c r="AG21" s="163" t="s">
        <v>148</v>
      </c>
      <c r="AH21" s="163" t="s">
        <v>148</v>
      </c>
      <c r="AJ21" s="162" t="s">
        <v>226</v>
      </c>
      <c r="AK21" s="162" t="s">
        <v>234</v>
      </c>
      <c r="AL21" s="163" t="s">
        <v>159</v>
      </c>
      <c r="AM21" s="166">
        <v>20667</v>
      </c>
      <c r="AN21" s="166">
        <v>20667</v>
      </c>
      <c r="AO21" s="166">
        <f t="shared" si="3"/>
        <v>11319.06194</v>
      </c>
      <c r="AP21" s="163" t="str">
        <f t="shared" ref="AP21:AP71" si="32">IF(AN21="NA", ".", IF(AN21&lt;0,"Cost-Saving",IF(AN21&lt;=AO21,"Cost-Effective",IF(AN21&gt;AO21&amp;AN21&lt;&gt;"NA","Not Cost-Effective","Missing"))))</f>
        <v>Not Cost-Effective</v>
      </c>
      <c r="AQ21" s="163" t="str">
        <f>IF(AN21="NA", ".", IF(AN21&lt;0,"Cost-Saving",IF(AN21&lt;=AO21*3,"Cost-Effective",IF(AN21&gt;AO21*3&amp;AN21&lt;&gt;"NA","Not Cost-Effective","Missing"))))</f>
        <v>Cost-Effective</v>
      </c>
      <c r="AR21" s="167">
        <f t="shared" si="5"/>
        <v>1.8258580180541004</v>
      </c>
      <c r="AS21" s="167">
        <f t="shared" si="6"/>
        <v>0.75</v>
      </c>
      <c r="AT21" s="159" t="str">
        <f t="shared" si="21"/>
        <v>Not Cost-Effective</v>
      </c>
      <c r="AU21" s="167">
        <f t="shared" si="7"/>
        <v>0.45</v>
      </c>
      <c r="AV21" s="162" t="str">
        <f t="shared" si="22"/>
        <v>Not Cost-Effective</v>
      </c>
      <c r="AW21" s="167">
        <f t="shared" si="8"/>
        <v>0.56444312933505247</v>
      </c>
      <c r="AX21" s="159" t="str">
        <f t="shared" si="23"/>
        <v>Not Cost-Effective</v>
      </c>
      <c r="AY21" s="167">
        <f t="shared" si="9"/>
        <v>0.31731694657870113</v>
      </c>
      <c r="AZ21" s="159" t="str">
        <f t="shared" si="24"/>
        <v>Not Cost-Effective</v>
      </c>
      <c r="BA21" s="167">
        <f t="shared" si="10"/>
        <v>0.6686887394303227</v>
      </c>
      <c r="BB21" s="159" t="str">
        <f t="shared" si="25"/>
        <v>Not Cost-Effective</v>
      </c>
      <c r="BC21" s="167">
        <f t="shared" si="11"/>
        <v>0.2771843839443679</v>
      </c>
      <c r="BD21" s="159" t="str">
        <f t="shared" si="26"/>
        <v>Not Cost-Effective</v>
      </c>
      <c r="BE21" s="162" t="s">
        <v>210</v>
      </c>
      <c r="BF21" s="162" t="s">
        <v>161</v>
      </c>
      <c r="BG21" s="168" t="str">
        <f t="shared" si="12"/>
        <v>.</v>
      </c>
      <c r="BH21" s="168" t="str">
        <f t="shared" si="13"/>
        <v>.</v>
      </c>
      <c r="BI21" s="163" t="str">
        <f t="shared" si="14"/>
        <v>.</v>
      </c>
      <c r="BJ21" s="163" t="str">
        <f t="shared" si="15"/>
        <v>.</v>
      </c>
      <c r="BK21" s="163" t="str">
        <f t="shared" si="27"/>
        <v>.</v>
      </c>
      <c r="BL21" s="163" t="str">
        <f t="shared" si="28"/>
        <v>.</v>
      </c>
      <c r="BM21" s="163">
        <f t="shared" si="29"/>
        <v>0</v>
      </c>
      <c r="BN21" s="163" t="s">
        <v>157</v>
      </c>
      <c r="BO21" s="162" t="str">
        <f t="shared" si="16"/>
        <v/>
      </c>
      <c r="BP21" s="162" t="s">
        <v>279</v>
      </c>
      <c r="BQ21" s="162" t="s">
        <v>1425</v>
      </c>
    </row>
    <row r="22" spans="1:70">
      <c r="A22" s="159">
        <f t="shared" si="17"/>
        <v>10</v>
      </c>
      <c r="B22" s="159">
        <f t="shared" si="18"/>
        <v>3</v>
      </c>
      <c r="C22" s="160" t="str">
        <f t="shared" si="0"/>
        <v>1003</v>
      </c>
      <c r="D22" s="159" t="s">
        <v>229</v>
      </c>
      <c r="E22" s="161">
        <v>2016</v>
      </c>
      <c r="F22" s="162" t="s">
        <v>230</v>
      </c>
      <c r="G22" s="162" t="s">
        <v>214</v>
      </c>
      <c r="H22" s="163" t="str">
        <f t="shared" si="1"/>
        <v>UM</v>
      </c>
      <c r="I22" s="163" t="s">
        <v>148</v>
      </c>
      <c r="J22" s="162" t="s">
        <v>185</v>
      </c>
      <c r="K22" s="163" t="s">
        <v>186</v>
      </c>
      <c r="L22" s="163" t="s">
        <v>151</v>
      </c>
      <c r="M22" s="163" t="str">
        <f t="shared" si="19"/>
        <v>PCV13 vs NoVax</v>
      </c>
      <c r="N22" s="159" t="s">
        <v>198</v>
      </c>
      <c r="O22" s="159">
        <v>4</v>
      </c>
      <c r="P22" s="162" t="s">
        <v>148</v>
      </c>
      <c r="Q22" s="164" t="s">
        <v>167</v>
      </c>
      <c r="R22" s="162" t="s">
        <v>154</v>
      </c>
      <c r="S22" s="162" t="s">
        <v>155</v>
      </c>
      <c r="T22" s="161">
        <v>2014</v>
      </c>
      <c r="U22" s="165">
        <v>55</v>
      </c>
      <c r="V22" s="165">
        <f>IF(ISNUMBER(U22),U22/VLOOKUP($S22,xRates!$A$1:$AA$267,data!$T22-xRates!$B$1+2,FALSE),U22)</f>
        <v>55</v>
      </c>
      <c r="W22" s="162" t="s">
        <v>231</v>
      </c>
      <c r="Y22" s="165"/>
      <c r="AA22" s="163" t="s">
        <v>148</v>
      </c>
      <c r="AB22" s="162" t="s">
        <v>232</v>
      </c>
      <c r="AC22" s="162" t="s">
        <v>148</v>
      </c>
      <c r="AD22" s="163" t="s">
        <v>157</v>
      </c>
      <c r="AE22" s="162" t="str">
        <f t="shared" si="31"/>
        <v/>
      </c>
      <c r="AF22" s="163" t="s">
        <v>148</v>
      </c>
      <c r="AG22" s="163" t="s">
        <v>148</v>
      </c>
      <c r="AH22" s="163" t="s">
        <v>148</v>
      </c>
      <c r="AJ22" s="162" t="s">
        <v>226</v>
      </c>
      <c r="AK22" s="162" t="s">
        <v>235</v>
      </c>
      <c r="AL22" s="163" t="s">
        <v>159</v>
      </c>
      <c r="AM22" s="166">
        <v>6389</v>
      </c>
      <c r="AN22" s="166">
        <v>6389</v>
      </c>
      <c r="AO22" s="166">
        <f t="shared" si="3"/>
        <v>11319.06194</v>
      </c>
      <c r="AP22" s="163" t="str">
        <f t="shared" si="32"/>
        <v>Cost-Effective</v>
      </c>
      <c r="AQ22" s="163" t="str">
        <f t="shared" si="20"/>
        <v>Cost-Effective</v>
      </c>
      <c r="AR22" s="167">
        <f t="shared" si="5"/>
        <v>0.56444606751573267</v>
      </c>
      <c r="AS22" s="167">
        <f t="shared" si="6"/>
        <v>0.75</v>
      </c>
      <c r="AT22" s="159" t="str">
        <f t="shared" si="21"/>
        <v>Cost-Effective</v>
      </c>
      <c r="AU22" s="167">
        <f t="shared" si="7"/>
        <v>0.45</v>
      </c>
      <c r="AV22" s="162" t="str">
        <f t="shared" si="22"/>
        <v>Not Cost-Effective</v>
      </c>
      <c r="AW22" s="167">
        <f t="shared" si="8"/>
        <v>0.56444312933505247</v>
      </c>
      <c r="AX22" s="159" t="str">
        <f t="shared" si="23"/>
        <v>Not Cost-Effective</v>
      </c>
      <c r="AY22" s="167">
        <f t="shared" si="9"/>
        <v>0.31731694657870113</v>
      </c>
      <c r="AZ22" s="159" t="str">
        <f t="shared" si="24"/>
        <v>Not Cost-Effective</v>
      </c>
      <c r="BA22" s="167">
        <f t="shared" si="10"/>
        <v>0.6686887394303227</v>
      </c>
      <c r="BB22" s="159" t="str">
        <f t="shared" si="25"/>
        <v>Cost-Effective</v>
      </c>
      <c r="BC22" s="167">
        <f t="shared" si="11"/>
        <v>0.2771843839443679</v>
      </c>
      <c r="BD22" s="159" t="str">
        <f t="shared" si="26"/>
        <v>Not Cost-Effective</v>
      </c>
      <c r="BE22" s="162" t="s">
        <v>210</v>
      </c>
      <c r="BF22" s="162" t="s">
        <v>174</v>
      </c>
      <c r="BG22" s="168">
        <f t="shared" si="12"/>
        <v>1</v>
      </c>
      <c r="BH22" s="168">
        <f t="shared" si="13"/>
        <v>0</v>
      </c>
      <c r="BI22" s="163">
        <f t="shared" si="14"/>
        <v>1</v>
      </c>
      <c r="BJ22" s="163">
        <f t="shared" si="15"/>
        <v>1</v>
      </c>
      <c r="BK22" s="163">
        <f t="shared" si="27"/>
        <v>1</v>
      </c>
      <c r="BL22" s="163">
        <f t="shared" si="28"/>
        <v>0</v>
      </c>
      <c r="BM22" s="163">
        <f t="shared" si="29"/>
        <v>4</v>
      </c>
      <c r="BN22" s="163" t="s">
        <v>157</v>
      </c>
      <c r="BO22" s="162" t="str">
        <f t="shared" si="16"/>
        <v/>
      </c>
      <c r="BP22" s="162" t="s">
        <v>279</v>
      </c>
      <c r="BQ22" s="162" t="s">
        <v>1425</v>
      </c>
    </row>
    <row r="23" spans="1:70">
      <c r="A23" s="159">
        <f t="shared" si="17"/>
        <v>10</v>
      </c>
      <c r="B23" s="159">
        <f t="shared" si="18"/>
        <v>4</v>
      </c>
      <c r="C23" s="160" t="str">
        <f t="shared" si="0"/>
        <v>1004</v>
      </c>
      <c r="D23" s="159" t="s">
        <v>229</v>
      </c>
      <c r="E23" s="161">
        <v>2016</v>
      </c>
      <c r="F23" s="162" t="s">
        <v>230</v>
      </c>
      <c r="G23" s="162" t="s">
        <v>214</v>
      </c>
      <c r="H23" s="163" t="str">
        <f t="shared" si="1"/>
        <v>UM</v>
      </c>
      <c r="I23" s="163" t="s">
        <v>148</v>
      </c>
      <c r="J23" s="162" t="s">
        <v>185</v>
      </c>
      <c r="K23" s="163" t="s">
        <v>186</v>
      </c>
      <c r="L23" s="163" t="s">
        <v>151</v>
      </c>
      <c r="M23" s="163" t="str">
        <f t="shared" si="19"/>
        <v>PCV13 vs NoVax</v>
      </c>
      <c r="N23" s="159" t="s">
        <v>198</v>
      </c>
      <c r="O23" s="159">
        <v>4</v>
      </c>
      <c r="P23" s="162" t="s">
        <v>148</v>
      </c>
      <c r="Q23" s="164" t="s">
        <v>153</v>
      </c>
      <c r="R23" s="162" t="s">
        <v>154</v>
      </c>
      <c r="S23" s="162" t="s">
        <v>155</v>
      </c>
      <c r="T23" s="161">
        <v>2014</v>
      </c>
      <c r="U23" s="165">
        <v>55</v>
      </c>
      <c r="V23" s="165">
        <f>IF(ISNUMBER(U23),U23/VLOOKUP($S23,xRates!$A$1:$AA$267,data!$T23-xRates!$B$1+2,FALSE),U23)</f>
        <v>55</v>
      </c>
      <c r="W23" s="162" t="s">
        <v>231</v>
      </c>
      <c r="Y23" s="165"/>
      <c r="AA23" s="163" t="s">
        <v>148</v>
      </c>
      <c r="AB23" s="162" t="s">
        <v>232</v>
      </c>
      <c r="AC23" s="162" t="s">
        <v>148</v>
      </c>
      <c r="AD23" s="163" t="s">
        <v>157</v>
      </c>
      <c r="AE23" s="162" t="str">
        <f t="shared" si="31"/>
        <v/>
      </c>
      <c r="AF23" s="163" t="s">
        <v>148</v>
      </c>
      <c r="AG23" s="163" t="s">
        <v>148</v>
      </c>
      <c r="AH23" s="163" t="s">
        <v>148</v>
      </c>
      <c r="AJ23" s="162" t="s">
        <v>226</v>
      </c>
      <c r="AK23" s="162" t="s">
        <v>236</v>
      </c>
      <c r="AL23" s="163" t="s">
        <v>159</v>
      </c>
      <c r="AM23" s="166">
        <v>4883</v>
      </c>
      <c r="AN23" s="166">
        <v>4883</v>
      </c>
      <c r="AO23" s="166">
        <f t="shared" si="3"/>
        <v>11319.06194</v>
      </c>
      <c r="AP23" s="163" t="str">
        <f t="shared" si="32"/>
        <v>Cost-Effective</v>
      </c>
      <c r="AQ23" s="163" t="str">
        <f t="shared" si="20"/>
        <v>Cost-Effective</v>
      </c>
      <c r="AR23" s="167">
        <f t="shared" si="5"/>
        <v>0.43139617274680275</v>
      </c>
      <c r="AS23" s="167">
        <f t="shared" si="6"/>
        <v>0.75</v>
      </c>
      <c r="AT23" s="159" t="str">
        <f t="shared" si="21"/>
        <v>Cost-Effective</v>
      </c>
      <c r="AU23" s="167">
        <f t="shared" si="7"/>
        <v>0.45</v>
      </c>
      <c r="AV23" s="162" t="str">
        <f t="shared" si="22"/>
        <v>Cost-Effective</v>
      </c>
      <c r="AW23" s="167">
        <f t="shared" si="8"/>
        <v>0.56444312933505247</v>
      </c>
      <c r="AX23" s="159" t="str">
        <f t="shared" si="23"/>
        <v>Cost-Effective</v>
      </c>
      <c r="AY23" s="167">
        <f t="shared" si="9"/>
        <v>0.31731694657870113</v>
      </c>
      <c r="AZ23" s="159" t="str">
        <f t="shared" si="24"/>
        <v>Not Cost-Effective</v>
      </c>
      <c r="BA23" s="167">
        <f t="shared" si="10"/>
        <v>0.6686887394303227</v>
      </c>
      <c r="BB23" s="159" t="str">
        <f t="shared" si="25"/>
        <v>Cost-Effective</v>
      </c>
      <c r="BC23" s="167">
        <f t="shared" si="11"/>
        <v>0.2771843839443679</v>
      </c>
      <c r="BD23" s="159" t="str">
        <f t="shared" si="26"/>
        <v>Not Cost-Effective</v>
      </c>
      <c r="BE23" s="162" t="s">
        <v>210</v>
      </c>
      <c r="BF23" s="162" t="s">
        <v>174</v>
      </c>
      <c r="BG23" s="168">
        <f t="shared" si="12"/>
        <v>0</v>
      </c>
      <c r="BH23" s="168">
        <f t="shared" si="13"/>
        <v>0</v>
      </c>
      <c r="BI23" s="163">
        <f t="shared" si="14"/>
        <v>1</v>
      </c>
      <c r="BJ23" s="163">
        <f t="shared" si="15"/>
        <v>0</v>
      </c>
      <c r="BK23" s="163">
        <f t="shared" si="27"/>
        <v>1</v>
      </c>
      <c r="BL23" s="163">
        <f t="shared" si="28"/>
        <v>0</v>
      </c>
      <c r="BM23" s="163">
        <f t="shared" si="29"/>
        <v>2</v>
      </c>
      <c r="BN23" s="163" t="s">
        <v>157</v>
      </c>
      <c r="BO23" s="162" t="str">
        <f t="shared" si="16"/>
        <v/>
      </c>
      <c r="BP23" s="162" t="s">
        <v>279</v>
      </c>
      <c r="BQ23" s="162" t="s">
        <v>1425</v>
      </c>
    </row>
    <row r="24" spans="1:70">
      <c r="A24" s="159">
        <f t="shared" si="17"/>
        <v>10</v>
      </c>
      <c r="B24" s="159">
        <f t="shared" si="18"/>
        <v>5</v>
      </c>
      <c r="C24" s="160" t="str">
        <f t="shared" si="0"/>
        <v>1005</v>
      </c>
      <c r="D24" s="159" t="s">
        <v>229</v>
      </c>
      <c r="E24" s="161">
        <v>2016</v>
      </c>
      <c r="F24" s="162" t="s">
        <v>230</v>
      </c>
      <c r="G24" s="162" t="s">
        <v>214</v>
      </c>
      <c r="H24" s="163" t="str">
        <f t="shared" si="1"/>
        <v>UM</v>
      </c>
      <c r="I24" s="163" t="s">
        <v>148</v>
      </c>
      <c r="J24" s="162" t="s">
        <v>237</v>
      </c>
      <c r="K24" s="163" t="s">
        <v>186</v>
      </c>
      <c r="L24" s="163" t="s">
        <v>183</v>
      </c>
      <c r="M24" s="163" t="str">
        <f t="shared" si="19"/>
        <v>PCV13 vs PCV10</v>
      </c>
      <c r="N24" s="159" t="s">
        <v>198</v>
      </c>
      <c r="O24" s="159">
        <v>4</v>
      </c>
      <c r="P24" s="162" t="s">
        <v>148</v>
      </c>
      <c r="Q24" s="164" t="s">
        <v>167</v>
      </c>
      <c r="R24" s="162" t="s">
        <v>154</v>
      </c>
      <c r="S24" s="162" t="s">
        <v>155</v>
      </c>
      <c r="T24" s="161">
        <v>2014</v>
      </c>
      <c r="U24" s="165">
        <v>55</v>
      </c>
      <c r="V24" s="165">
        <f>IF(ISNUMBER(U24),U24/VLOOKUP($S24,xRates!$A$1:$AA$267,data!$T24-xRates!$B$1+2,FALSE),U24)</f>
        <v>55</v>
      </c>
      <c r="W24" s="162" t="s">
        <v>231</v>
      </c>
      <c r="X24" s="159">
        <v>55</v>
      </c>
      <c r="Y24" s="165">
        <v>55</v>
      </c>
      <c r="Z24" s="162" t="s">
        <v>231</v>
      </c>
      <c r="AA24" s="163" t="s">
        <v>148</v>
      </c>
      <c r="AB24" s="162" t="s">
        <v>232</v>
      </c>
      <c r="AC24" s="162" t="s">
        <v>148</v>
      </c>
      <c r="AD24" s="163" t="s">
        <v>157</v>
      </c>
      <c r="AE24" s="162" t="str">
        <f t="shared" si="31"/>
        <v/>
      </c>
      <c r="AF24" s="163" t="s">
        <v>148</v>
      </c>
      <c r="AG24" s="163" t="s">
        <v>148</v>
      </c>
      <c r="AH24" s="163" t="s">
        <v>148</v>
      </c>
      <c r="AJ24" s="162" t="s">
        <v>226</v>
      </c>
      <c r="AK24" s="162" t="s">
        <v>238</v>
      </c>
      <c r="AL24" s="163" t="s">
        <v>159</v>
      </c>
      <c r="AM24" s="166">
        <v>-3059</v>
      </c>
      <c r="AN24" s="166">
        <v>-3059</v>
      </c>
      <c r="AO24" s="166">
        <f t="shared" si="3"/>
        <v>11319.06194</v>
      </c>
      <c r="AP24" s="163" t="str">
        <f t="shared" si="32"/>
        <v>Cost-Saving</v>
      </c>
      <c r="AQ24" s="163" t="str">
        <f t="shared" si="20"/>
        <v>Cost-Saving</v>
      </c>
      <c r="AR24" s="167">
        <f t="shared" si="5"/>
        <v>-0.27025207709040949</v>
      </c>
      <c r="AS24" s="167">
        <f t="shared" si="6"/>
        <v>0.75</v>
      </c>
      <c r="AT24" s="159" t="str">
        <f t="shared" si="21"/>
        <v>Cost-Saving</v>
      </c>
      <c r="AU24" s="167">
        <f t="shared" si="7"/>
        <v>0.45</v>
      </c>
      <c r="AV24" s="162" t="str">
        <f t="shared" si="22"/>
        <v>Cost-Saving</v>
      </c>
      <c r="AW24" s="167">
        <f t="shared" si="8"/>
        <v>0.56444312933505247</v>
      </c>
      <c r="AX24" s="159" t="str">
        <f t="shared" si="23"/>
        <v>Cost-Saving</v>
      </c>
      <c r="AY24" s="167">
        <f t="shared" si="9"/>
        <v>0.31731694657870113</v>
      </c>
      <c r="AZ24" s="159" t="str">
        <f t="shared" si="24"/>
        <v>Cost-Saving</v>
      </c>
      <c r="BA24" s="167">
        <f t="shared" si="10"/>
        <v>0.6686887394303227</v>
      </c>
      <c r="BB24" s="159" t="str">
        <f t="shared" si="25"/>
        <v>Cost-Saving</v>
      </c>
      <c r="BC24" s="167">
        <f t="shared" si="11"/>
        <v>0.2771843839443679</v>
      </c>
      <c r="BD24" s="159" t="str">
        <f t="shared" si="26"/>
        <v>Cost-Saving</v>
      </c>
      <c r="BE24" s="162" t="s">
        <v>210</v>
      </c>
      <c r="BF24" s="162" t="s">
        <v>239</v>
      </c>
      <c r="BG24" s="168" t="str">
        <f t="shared" si="12"/>
        <v>.</v>
      </c>
      <c r="BH24" s="168" t="str">
        <f t="shared" si="13"/>
        <v>.</v>
      </c>
      <c r="BI24" s="163" t="str">
        <f t="shared" si="14"/>
        <v>.</v>
      </c>
      <c r="BJ24" s="163" t="str">
        <f t="shared" si="15"/>
        <v>.</v>
      </c>
      <c r="BK24" s="163" t="str">
        <f t="shared" si="27"/>
        <v>.</v>
      </c>
      <c r="BL24" s="163" t="str">
        <f t="shared" si="28"/>
        <v>.</v>
      </c>
      <c r="BM24" s="163">
        <f t="shared" si="29"/>
        <v>0</v>
      </c>
      <c r="BN24" s="163" t="s">
        <v>157</v>
      </c>
      <c r="BO24" s="162" t="str">
        <f t="shared" si="16"/>
        <v/>
      </c>
      <c r="BP24" s="162" t="s">
        <v>279</v>
      </c>
      <c r="BQ24" s="162" t="s">
        <v>1425</v>
      </c>
    </row>
    <row r="25" spans="1:70">
      <c r="A25" s="159">
        <f t="shared" si="17"/>
        <v>10</v>
      </c>
      <c r="B25" s="159">
        <f t="shared" si="18"/>
        <v>6</v>
      </c>
      <c r="C25" s="160" t="str">
        <f t="shared" si="0"/>
        <v>1006</v>
      </c>
      <c r="D25" s="159" t="s">
        <v>229</v>
      </c>
      <c r="E25" s="161">
        <v>2016</v>
      </c>
      <c r="F25" s="162" t="s">
        <v>230</v>
      </c>
      <c r="G25" s="162" t="s">
        <v>214</v>
      </c>
      <c r="H25" s="163" t="str">
        <f t="shared" si="1"/>
        <v>UM</v>
      </c>
      <c r="I25" s="163" t="s">
        <v>148</v>
      </c>
      <c r="J25" s="162" t="s">
        <v>237</v>
      </c>
      <c r="K25" s="163" t="s">
        <v>186</v>
      </c>
      <c r="L25" s="163" t="s">
        <v>183</v>
      </c>
      <c r="M25" s="163" t="str">
        <f t="shared" si="19"/>
        <v>PCV13 vs PCV10</v>
      </c>
      <c r="N25" s="159" t="s">
        <v>198</v>
      </c>
      <c r="O25" s="159">
        <v>4</v>
      </c>
      <c r="P25" s="162" t="s">
        <v>148</v>
      </c>
      <c r="Q25" s="164" t="s">
        <v>153</v>
      </c>
      <c r="R25" s="162" t="s">
        <v>154</v>
      </c>
      <c r="S25" s="162" t="s">
        <v>155</v>
      </c>
      <c r="T25" s="161">
        <v>2014</v>
      </c>
      <c r="U25" s="165">
        <v>55</v>
      </c>
      <c r="V25" s="165">
        <f>IF(ISNUMBER(U25),U25/VLOOKUP($S25,xRates!$A$1:$AA$267,data!$T25-xRates!$B$1+2,FALSE),U25)</f>
        <v>55</v>
      </c>
      <c r="W25" s="162" t="s">
        <v>231</v>
      </c>
      <c r="X25" s="159">
        <v>55</v>
      </c>
      <c r="Y25" s="165">
        <v>55</v>
      </c>
      <c r="Z25" s="162" t="s">
        <v>231</v>
      </c>
      <c r="AA25" s="163" t="s">
        <v>148</v>
      </c>
      <c r="AB25" s="162" t="s">
        <v>232</v>
      </c>
      <c r="AC25" s="162" t="s">
        <v>148</v>
      </c>
      <c r="AD25" s="163" t="s">
        <v>157</v>
      </c>
      <c r="AE25" s="162" t="str">
        <f t="shared" si="31"/>
        <v/>
      </c>
      <c r="AF25" s="163" t="s">
        <v>148</v>
      </c>
      <c r="AG25" s="163" t="s">
        <v>148</v>
      </c>
      <c r="AH25" s="163" t="s">
        <v>148</v>
      </c>
      <c r="AJ25" s="162" t="s">
        <v>226</v>
      </c>
      <c r="AK25" s="162" t="s">
        <v>240</v>
      </c>
      <c r="AL25" s="163" t="s">
        <v>159</v>
      </c>
      <c r="AM25" s="166">
        <v>-5027</v>
      </c>
      <c r="AN25" s="166">
        <v>-5027</v>
      </c>
      <c r="AO25" s="166">
        <f t="shared" si="3"/>
        <v>11319.06194</v>
      </c>
      <c r="AP25" s="163" t="str">
        <f t="shared" si="32"/>
        <v>Cost-Saving</v>
      </c>
      <c r="AQ25" s="163" t="str">
        <f t="shared" si="20"/>
        <v>Cost-Saving</v>
      </c>
      <c r="AR25" s="167">
        <f t="shared" si="5"/>
        <v>-0.44411807503546535</v>
      </c>
      <c r="AS25" s="167">
        <f t="shared" si="6"/>
        <v>0.75</v>
      </c>
      <c r="AT25" s="159" t="str">
        <f t="shared" si="21"/>
        <v>Cost-Saving</v>
      </c>
      <c r="AU25" s="167">
        <f t="shared" si="7"/>
        <v>0.45</v>
      </c>
      <c r="AV25" s="162" t="str">
        <f t="shared" si="22"/>
        <v>Cost-Saving</v>
      </c>
      <c r="AW25" s="167">
        <f t="shared" si="8"/>
        <v>0.56444312933505247</v>
      </c>
      <c r="AX25" s="159" t="str">
        <f t="shared" si="23"/>
        <v>Cost-Saving</v>
      </c>
      <c r="AY25" s="167">
        <f t="shared" si="9"/>
        <v>0.31731694657870113</v>
      </c>
      <c r="AZ25" s="159" t="str">
        <f t="shared" si="24"/>
        <v>Cost-Saving</v>
      </c>
      <c r="BA25" s="167">
        <f t="shared" si="10"/>
        <v>0.6686887394303227</v>
      </c>
      <c r="BB25" s="159" t="str">
        <f t="shared" si="25"/>
        <v>Cost-Saving</v>
      </c>
      <c r="BC25" s="167">
        <f t="shared" si="11"/>
        <v>0.2771843839443679</v>
      </c>
      <c r="BD25" s="159" t="str">
        <f t="shared" si="26"/>
        <v>Cost-Saving</v>
      </c>
      <c r="BE25" s="162" t="s">
        <v>210</v>
      </c>
      <c r="BF25" s="162" t="s">
        <v>239</v>
      </c>
      <c r="BG25" s="168" t="str">
        <f t="shared" si="12"/>
        <v>.</v>
      </c>
      <c r="BH25" s="168" t="str">
        <f t="shared" si="13"/>
        <v>.</v>
      </c>
      <c r="BI25" s="163" t="str">
        <f t="shared" si="14"/>
        <v>.</v>
      </c>
      <c r="BJ25" s="163" t="str">
        <f t="shared" si="15"/>
        <v>.</v>
      </c>
      <c r="BK25" s="163" t="str">
        <f t="shared" si="27"/>
        <v>.</v>
      </c>
      <c r="BL25" s="163" t="str">
        <f t="shared" si="28"/>
        <v>.</v>
      </c>
      <c r="BM25" s="163">
        <f t="shared" si="29"/>
        <v>0</v>
      </c>
      <c r="BN25" s="163" t="s">
        <v>157</v>
      </c>
      <c r="BO25" s="162" t="str">
        <f t="shared" si="16"/>
        <v/>
      </c>
      <c r="BP25" s="162" t="s">
        <v>279</v>
      </c>
      <c r="BQ25" s="162" t="s">
        <v>1425</v>
      </c>
    </row>
    <row r="26" spans="1:70">
      <c r="A26" s="159">
        <f t="shared" si="17"/>
        <v>10</v>
      </c>
      <c r="B26" s="159">
        <f t="shared" si="18"/>
        <v>7</v>
      </c>
      <c r="C26" s="160" t="str">
        <f t="shared" si="0"/>
        <v>1007</v>
      </c>
      <c r="D26" s="159" t="s">
        <v>229</v>
      </c>
      <c r="E26" s="161">
        <v>2016</v>
      </c>
      <c r="F26" s="162" t="s">
        <v>230</v>
      </c>
      <c r="G26" s="162" t="s">
        <v>214</v>
      </c>
      <c r="H26" s="163" t="str">
        <f t="shared" si="1"/>
        <v>UM</v>
      </c>
      <c r="I26" s="163" t="s">
        <v>148</v>
      </c>
      <c r="J26" s="162" t="s">
        <v>185</v>
      </c>
      <c r="K26" s="163" t="s">
        <v>186</v>
      </c>
      <c r="L26" s="163" t="s">
        <v>151</v>
      </c>
      <c r="M26" s="163" t="str">
        <f t="shared" si="19"/>
        <v>PCV13 vs NoVax</v>
      </c>
      <c r="N26" s="159" t="s">
        <v>198</v>
      </c>
      <c r="O26" s="159">
        <v>4</v>
      </c>
      <c r="P26" s="162" t="s">
        <v>157</v>
      </c>
      <c r="Q26" s="164" t="s">
        <v>167</v>
      </c>
      <c r="R26" s="162" t="s">
        <v>154</v>
      </c>
      <c r="S26" s="162" t="s">
        <v>155</v>
      </c>
      <c r="T26" s="161">
        <v>2014</v>
      </c>
      <c r="U26" s="165">
        <v>55</v>
      </c>
      <c r="V26" s="165">
        <f>IF(ISNUMBER(U26),U26/VLOOKUP($S26,xRates!$A$1:$AA$267,data!$T26-xRates!$B$1+2,FALSE),U26)</f>
        <v>55</v>
      </c>
      <c r="W26" s="162" t="s">
        <v>231</v>
      </c>
      <c r="Y26" s="165"/>
      <c r="AA26" s="163" t="s">
        <v>157</v>
      </c>
      <c r="AB26" s="162"/>
      <c r="AD26" s="163" t="s">
        <v>157</v>
      </c>
      <c r="AE26" s="162" t="str">
        <f t="shared" si="31"/>
        <v/>
      </c>
      <c r="AF26" s="163" t="s">
        <v>148</v>
      </c>
      <c r="AG26" s="163" t="s">
        <v>148</v>
      </c>
      <c r="AH26" s="163" t="s">
        <v>148</v>
      </c>
      <c r="AJ26" s="162" t="s">
        <v>226</v>
      </c>
      <c r="AK26" s="162" t="s">
        <v>241</v>
      </c>
      <c r="AL26" s="163" t="s">
        <v>159</v>
      </c>
      <c r="AM26" s="166">
        <v>15752</v>
      </c>
      <c r="AN26" s="166">
        <v>15752</v>
      </c>
      <c r="AO26" s="166">
        <f t="shared" si="3"/>
        <v>11319.06194</v>
      </c>
      <c r="AP26" s="163" t="str">
        <f t="shared" si="32"/>
        <v>Not Cost-Effective</v>
      </c>
      <c r="AQ26" s="163" t="str">
        <f t="shared" si="20"/>
        <v>Cost-Effective</v>
      </c>
      <c r="AR26" s="167">
        <f t="shared" si="5"/>
        <v>1.391634755909817</v>
      </c>
      <c r="AS26" s="167">
        <f t="shared" si="6"/>
        <v>0.75</v>
      </c>
      <c r="AT26" s="159" t="str">
        <f t="shared" si="21"/>
        <v>Not Cost-Effective</v>
      </c>
      <c r="AU26" s="167">
        <f t="shared" si="7"/>
        <v>0.45</v>
      </c>
      <c r="AV26" s="162" t="str">
        <f t="shared" si="22"/>
        <v>Not Cost-Effective</v>
      </c>
      <c r="AW26" s="167">
        <f t="shared" si="8"/>
        <v>0.56444312933505247</v>
      </c>
      <c r="AX26" s="159" t="str">
        <f t="shared" si="23"/>
        <v>Not Cost-Effective</v>
      </c>
      <c r="AY26" s="167">
        <f t="shared" si="9"/>
        <v>0.31731694657870113</v>
      </c>
      <c r="AZ26" s="159" t="str">
        <f t="shared" si="24"/>
        <v>Not Cost-Effective</v>
      </c>
      <c r="BA26" s="167">
        <f t="shared" si="10"/>
        <v>0.6686887394303227</v>
      </c>
      <c r="BB26" s="159" t="str">
        <f t="shared" si="25"/>
        <v>Not Cost-Effective</v>
      </c>
      <c r="BC26" s="167">
        <f t="shared" si="11"/>
        <v>0.2771843839443679</v>
      </c>
      <c r="BD26" s="159" t="str">
        <f t="shared" si="26"/>
        <v>Not Cost-Effective</v>
      </c>
      <c r="BE26" s="162" t="s">
        <v>210</v>
      </c>
      <c r="BF26" s="162" t="s">
        <v>161</v>
      </c>
      <c r="BG26" s="168" t="str">
        <f t="shared" si="12"/>
        <v>.</v>
      </c>
      <c r="BH26" s="168" t="str">
        <f t="shared" si="13"/>
        <v>.</v>
      </c>
      <c r="BI26" s="163" t="str">
        <f t="shared" si="14"/>
        <v>.</v>
      </c>
      <c r="BJ26" s="163" t="str">
        <f t="shared" si="15"/>
        <v>.</v>
      </c>
      <c r="BK26" s="163" t="str">
        <f t="shared" si="27"/>
        <v>.</v>
      </c>
      <c r="BL26" s="163" t="str">
        <f t="shared" si="28"/>
        <v>.</v>
      </c>
      <c r="BM26" s="163">
        <f t="shared" si="29"/>
        <v>0</v>
      </c>
      <c r="BN26" s="163" t="s">
        <v>157</v>
      </c>
      <c r="BO26" s="162" t="str">
        <f t="shared" si="16"/>
        <v/>
      </c>
      <c r="BP26" s="162" t="s">
        <v>279</v>
      </c>
      <c r="BQ26" s="162" t="s">
        <v>1425</v>
      </c>
    </row>
    <row r="27" spans="1:70">
      <c r="A27" s="159">
        <f t="shared" si="17"/>
        <v>10</v>
      </c>
      <c r="B27" s="159">
        <f t="shared" si="18"/>
        <v>8</v>
      </c>
      <c r="C27" s="160" t="str">
        <f t="shared" si="0"/>
        <v>1008</v>
      </c>
      <c r="D27" s="159" t="s">
        <v>229</v>
      </c>
      <c r="E27" s="161">
        <v>2016</v>
      </c>
      <c r="F27" s="162" t="s">
        <v>230</v>
      </c>
      <c r="G27" s="162" t="s">
        <v>214</v>
      </c>
      <c r="H27" s="163" t="str">
        <f t="shared" si="1"/>
        <v>UM</v>
      </c>
      <c r="I27" s="163" t="s">
        <v>148</v>
      </c>
      <c r="J27" s="162" t="s">
        <v>185</v>
      </c>
      <c r="K27" s="163" t="s">
        <v>186</v>
      </c>
      <c r="L27" s="163" t="s">
        <v>151</v>
      </c>
      <c r="M27" s="163" t="str">
        <f t="shared" si="19"/>
        <v>PCV13 vs NoVax</v>
      </c>
      <c r="N27" s="159" t="s">
        <v>198</v>
      </c>
      <c r="O27" s="159">
        <v>4</v>
      </c>
      <c r="P27" s="162" t="s">
        <v>157</v>
      </c>
      <c r="Q27" s="164" t="s">
        <v>153</v>
      </c>
      <c r="R27" s="162" t="s">
        <v>154</v>
      </c>
      <c r="S27" s="162" t="s">
        <v>155</v>
      </c>
      <c r="T27" s="161">
        <v>2014</v>
      </c>
      <c r="U27" s="165">
        <v>55</v>
      </c>
      <c r="V27" s="165">
        <f>IF(ISNUMBER(U27),U27/VLOOKUP($S27,xRates!$A$1:$AA$267,data!$T27-xRates!$B$1+2,FALSE),U27)</f>
        <v>55</v>
      </c>
      <c r="W27" s="162" t="s">
        <v>231</v>
      </c>
      <c r="Y27" s="165"/>
      <c r="AA27" s="163" t="s">
        <v>157</v>
      </c>
      <c r="AB27" s="162"/>
      <c r="AD27" s="163" t="s">
        <v>157</v>
      </c>
      <c r="AE27" s="162" t="str">
        <f t="shared" si="31"/>
        <v/>
      </c>
      <c r="AF27" s="163" t="s">
        <v>148</v>
      </c>
      <c r="AG27" s="163" t="s">
        <v>148</v>
      </c>
      <c r="AH27" s="163" t="s">
        <v>148</v>
      </c>
      <c r="AJ27" s="162" t="s">
        <v>226</v>
      </c>
      <c r="AK27" s="162" t="s">
        <v>242</v>
      </c>
      <c r="AL27" s="163" t="s">
        <v>159</v>
      </c>
      <c r="AM27" s="166">
        <v>14981</v>
      </c>
      <c r="AN27" s="166">
        <v>14981</v>
      </c>
      <c r="AO27" s="166">
        <f t="shared" si="3"/>
        <v>11319.06194</v>
      </c>
      <c r="AP27" s="163" t="str">
        <f t="shared" si="32"/>
        <v>Not Cost-Effective</v>
      </c>
      <c r="AQ27" s="163" t="str">
        <f t="shared" si="20"/>
        <v>Cost-Effective</v>
      </c>
      <c r="AR27" s="167">
        <f t="shared" si="5"/>
        <v>1.3235195707392693</v>
      </c>
      <c r="AS27" s="167">
        <f t="shared" si="6"/>
        <v>0.75</v>
      </c>
      <c r="AT27" s="159" t="str">
        <f t="shared" si="21"/>
        <v>Not Cost-Effective</v>
      </c>
      <c r="AU27" s="167">
        <f t="shared" si="7"/>
        <v>0.45</v>
      </c>
      <c r="AV27" s="162" t="str">
        <f t="shared" si="22"/>
        <v>Not Cost-Effective</v>
      </c>
      <c r="AW27" s="167">
        <f t="shared" si="8"/>
        <v>0.56444312933505247</v>
      </c>
      <c r="AX27" s="159" t="str">
        <f t="shared" si="23"/>
        <v>Not Cost-Effective</v>
      </c>
      <c r="AY27" s="167">
        <f t="shared" si="9"/>
        <v>0.31731694657870113</v>
      </c>
      <c r="AZ27" s="159" t="str">
        <f t="shared" si="24"/>
        <v>Not Cost-Effective</v>
      </c>
      <c r="BA27" s="167">
        <f t="shared" si="10"/>
        <v>0.6686887394303227</v>
      </c>
      <c r="BB27" s="159" t="str">
        <f t="shared" si="25"/>
        <v>Not Cost-Effective</v>
      </c>
      <c r="BC27" s="167">
        <f t="shared" si="11"/>
        <v>0.2771843839443679</v>
      </c>
      <c r="BD27" s="159" t="str">
        <f t="shared" si="26"/>
        <v>Not Cost-Effective</v>
      </c>
      <c r="BE27" s="162" t="s">
        <v>210</v>
      </c>
      <c r="BF27" s="162" t="s">
        <v>161</v>
      </c>
      <c r="BG27" s="168" t="str">
        <f t="shared" si="12"/>
        <v>.</v>
      </c>
      <c r="BH27" s="168" t="str">
        <f t="shared" si="13"/>
        <v>.</v>
      </c>
      <c r="BI27" s="163" t="str">
        <f t="shared" si="14"/>
        <v>.</v>
      </c>
      <c r="BJ27" s="163" t="str">
        <f t="shared" si="15"/>
        <v>.</v>
      </c>
      <c r="BK27" s="163" t="str">
        <f t="shared" si="27"/>
        <v>.</v>
      </c>
      <c r="BL27" s="163" t="str">
        <f t="shared" si="28"/>
        <v>.</v>
      </c>
      <c r="BM27" s="163">
        <f t="shared" si="29"/>
        <v>0</v>
      </c>
      <c r="BN27" s="163" t="s">
        <v>157</v>
      </c>
      <c r="BO27" s="162" t="str">
        <f t="shared" si="16"/>
        <v/>
      </c>
      <c r="BP27" s="162" t="s">
        <v>279</v>
      </c>
      <c r="BQ27" s="162" t="s">
        <v>1425</v>
      </c>
    </row>
    <row r="28" spans="1:70">
      <c r="A28" s="159">
        <f t="shared" si="17"/>
        <v>11</v>
      </c>
      <c r="B28" s="159">
        <f t="shared" si="18"/>
        <v>1</v>
      </c>
      <c r="C28" s="160" t="str">
        <f t="shared" si="0"/>
        <v>1101</v>
      </c>
      <c r="D28" s="159" t="s">
        <v>243</v>
      </c>
      <c r="E28" s="161">
        <v>2019</v>
      </c>
      <c r="F28" s="162" t="s">
        <v>244</v>
      </c>
      <c r="G28" s="162" t="s">
        <v>245</v>
      </c>
      <c r="H28" s="163" t="str">
        <f t="shared" si="1"/>
        <v>LM</v>
      </c>
      <c r="I28" s="163" t="s">
        <v>148</v>
      </c>
      <c r="J28" s="162" t="s">
        <v>185</v>
      </c>
      <c r="K28" s="163" t="s">
        <v>186</v>
      </c>
      <c r="L28" s="163" t="s">
        <v>151</v>
      </c>
      <c r="M28" s="163" t="str">
        <f t="shared" si="19"/>
        <v>PCV13 vs NoVax</v>
      </c>
      <c r="N28" s="159" t="s">
        <v>152</v>
      </c>
      <c r="O28" s="159">
        <v>3</v>
      </c>
      <c r="P28" s="162" t="s">
        <v>148</v>
      </c>
      <c r="Q28" s="162" t="s">
        <v>167</v>
      </c>
      <c r="R28" s="162" t="s">
        <v>154</v>
      </c>
      <c r="S28" s="162" t="s">
        <v>155</v>
      </c>
      <c r="T28" s="161">
        <v>2017</v>
      </c>
      <c r="U28" s="165">
        <v>3.3</v>
      </c>
      <c r="V28" s="165">
        <f>IF(ISNUMBER(U28),U28/VLOOKUP($S28,xRates!$A$1:$AA$267,data!$T28-xRates!$B$1+2,FALSE),U28)</f>
        <v>3.3</v>
      </c>
      <c r="W28" s="162" t="s">
        <v>177</v>
      </c>
      <c r="Y28" s="165"/>
      <c r="AA28" s="163" t="s">
        <v>157</v>
      </c>
      <c r="AB28" s="162"/>
      <c r="AD28" s="163" t="s">
        <v>157</v>
      </c>
      <c r="AE28" s="162" t="str">
        <f t="shared" si="31"/>
        <v/>
      </c>
      <c r="AF28" s="163" t="s">
        <v>148</v>
      </c>
      <c r="AG28" s="163" t="s">
        <v>148</v>
      </c>
      <c r="AH28" s="163" t="s">
        <v>148</v>
      </c>
      <c r="AJ28" s="162"/>
      <c r="AK28" s="162" t="s">
        <v>246</v>
      </c>
      <c r="AL28" s="163" t="s">
        <v>247</v>
      </c>
      <c r="AM28" s="166">
        <v>467</v>
      </c>
      <c r="AN28" s="166">
        <v>467</v>
      </c>
      <c r="AO28" s="166">
        <f t="shared" si="3"/>
        <v>1980.6670200000001</v>
      </c>
      <c r="AP28" s="163" t="str">
        <f t="shared" si="32"/>
        <v>Cost-Effective</v>
      </c>
      <c r="AQ28" s="163" t="str">
        <f t="shared" si="20"/>
        <v>Cost-Effective</v>
      </c>
      <c r="AR28" s="167">
        <f t="shared" si="5"/>
        <v>0.23577915686201509</v>
      </c>
      <c r="AS28" s="167">
        <f t="shared" si="6"/>
        <v>0.23</v>
      </c>
      <c r="AT28" s="159" t="str">
        <f t="shared" si="21"/>
        <v>Not Cost-Effective</v>
      </c>
      <c r="AU28" s="167">
        <f t="shared" si="7"/>
        <v>0.17</v>
      </c>
      <c r="AV28" s="162" t="str">
        <f t="shared" si="22"/>
        <v>Not Cost-Effective</v>
      </c>
      <c r="AW28" s="167">
        <f t="shared" si="8"/>
        <v>0.53117718600199304</v>
      </c>
      <c r="AX28" s="159" t="str">
        <f t="shared" si="23"/>
        <v>Cost-Effective</v>
      </c>
      <c r="AY28" s="167">
        <f t="shared" si="9"/>
        <v>7.9331657649648321E-2</v>
      </c>
      <c r="AZ28" s="159" t="str">
        <f t="shared" si="24"/>
        <v>Not Cost-Effective</v>
      </c>
      <c r="BA28" s="167">
        <f t="shared" si="10"/>
        <v>0.29418044517547048</v>
      </c>
      <c r="BB28" s="159" t="str">
        <f t="shared" si="25"/>
        <v>Cost-Effective</v>
      </c>
      <c r="BC28" s="167">
        <f t="shared" si="11"/>
        <v>0.11852901431827209</v>
      </c>
      <c r="BD28" s="159" t="str">
        <f t="shared" si="26"/>
        <v>Not Cost-Effective</v>
      </c>
      <c r="BE28" s="162" t="s">
        <v>210</v>
      </c>
      <c r="BF28" s="162" t="s">
        <v>174</v>
      </c>
      <c r="BG28" s="168">
        <f t="shared" si="12"/>
        <v>1</v>
      </c>
      <c r="BH28" s="168">
        <f t="shared" si="13"/>
        <v>1</v>
      </c>
      <c r="BI28" s="163">
        <f t="shared" si="14"/>
        <v>1</v>
      </c>
      <c r="BJ28" s="163">
        <f t="shared" si="15"/>
        <v>0</v>
      </c>
      <c r="BK28" s="163">
        <f t="shared" si="27"/>
        <v>1</v>
      </c>
      <c r="BL28" s="163">
        <f t="shared" si="28"/>
        <v>0</v>
      </c>
      <c r="BM28" s="163">
        <f t="shared" si="29"/>
        <v>4</v>
      </c>
      <c r="BN28" s="163" t="s">
        <v>148</v>
      </c>
      <c r="BO28" s="162" t="s">
        <v>248</v>
      </c>
      <c r="BP28" s="162" t="s">
        <v>1403</v>
      </c>
      <c r="BQ28" s="162" t="s">
        <v>1403</v>
      </c>
      <c r="BR28" s="162" t="s">
        <v>249</v>
      </c>
    </row>
    <row r="29" spans="1:70">
      <c r="A29" s="159">
        <f t="shared" si="17"/>
        <v>12</v>
      </c>
      <c r="B29" s="159">
        <f t="shared" si="18"/>
        <v>1</v>
      </c>
      <c r="C29" s="160" t="str">
        <f t="shared" si="0"/>
        <v>1201</v>
      </c>
      <c r="D29" s="159" t="s">
        <v>250</v>
      </c>
      <c r="E29" s="161">
        <v>2019</v>
      </c>
      <c r="F29" s="162" t="s">
        <v>251</v>
      </c>
      <c r="G29" s="162" t="s">
        <v>252</v>
      </c>
      <c r="H29" s="163" t="str">
        <f t="shared" si="1"/>
        <v>UM</v>
      </c>
      <c r="I29" s="163" t="s">
        <v>148</v>
      </c>
      <c r="J29" s="162" t="s">
        <v>182</v>
      </c>
      <c r="K29" s="163" t="s">
        <v>183</v>
      </c>
      <c r="L29" s="163" t="s">
        <v>151</v>
      </c>
      <c r="M29" s="163" t="str">
        <f t="shared" si="19"/>
        <v>PCV10 vs NoVax</v>
      </c>
      <c r="N29" s="159" t="s">
        <v>198</v>
      </c>
      <c r="O29" s="159">
        <v>4</v>
      </c>
      <c r="P29" s="162" t="s">
        <v>157</v>
      </c>
      <c r="Q29" s="162" t="s">
        <v>153</v>
      </c>
      <c r="R29" s="162" t="s">
        <v>253</v>
      </c>
      <c r="S29" s="162" t="s">
        <v>252</v>
      </c>
      <c r="T29" s="161">
        <v>2018</v>
      </c>
      <c r="U29" s="165">
        <v>1440</v>
      </c>
      <c r="V29" s="165">
        <f>IF(ISNUMBER(U29),U29/VLOOKUP($S29,xRates!$A$1:$AA$267,data!$T29-xRates!$B$1+2,FALSE),U29)</f>
        <v>44.56793373860836</v>
      </c>
      <c r="W29" s="162" t="s">
        <v>254</v>
      </c>
      <c r="Y29" s="165"/>
      <c r="AA29" s="163" t="s">
        <v>148</v>
      </c>
      <c r="AB29" s="162" t="s">
        <v>170</v>
      </c>
      <c r="AC29" s="162" t="s">
        <v>148</v>
      </c>
      <c r="AD29" s="163" t="s">
        <v>157</v>
      </c>
      <c r="AE29" s="162" t="str">
        <f t="shared" si="31"/>
        <v/>
      </c>
      <c r="AF29" s="163" t="s">
        <v>148</v>
      </c>
      <c r="AG29" s="163" t="s">
        <v>148</v>
      </c>
      <c r="AH29" s="163" t="s">
        <v>148</v>
      </c>
      <c r="AJ29" s="162" t="s">
        <v>255</v>
      </c>
      <c r="AK29" s="162" t="s">
        <v>256</v>
      </c>
      <c r="AL29" s="163" t="s">
        <v>159</v>
      </c>
      <c r="AM29" s="166">
        <v>-46918</v>
      </c>
      <c r="AN29" s="166">
        <f>AM29/xRates!$X$194</f>
        <v>-1452.1099410750187</v>
      </c>
      <c r="AO29" s="166">
        <f t="shared" si="3"/>
        <v>7296.8796080000002</v>
      </c>
      <c r="AP29" s="163" t="str">
        <f t="shared" si="32"/>
        <v>Cost-Saving</v>
      </c>
      <c r="AQ29" s="163" t="str">
        <f t="shared" si="20"/>
        <v>Cost-Saving</v>
      </c>
      <c r="AR29" s="167">
        <f t="shared" si="5"/>
        <v>-0.19900423456116567</v>
      </c>
      <c r="AS29" s="167">
        <f t="shared" si="6"/>
        <v>1.1200000000000001</v>
      </c>
      <c r="AT29" s="159" t="str">
        <f t="shared" si="21"/>
        <v>Cost-Saving</v>
      </c>
      <c r="AU29" s="167">
        <f t="shared" si="7"/>
        <v>0.7</v>
      </c>
      <c r="AV29" s="162" t="str">
        <f t="shared" si="22"/>
        <v>Cost-Saving</v>
      </c>
      <c r="AW29" s="167">
        <f t="shared" si="8"/>
        <v>0.63924009905265922</v>
      </c>
      <c r="AX29" s="159" t="str">
        <f t="shared" si="23"/>
        <v>Cost-Saving</v>
      </c>
      <c r="AY29" s="167">
        <f t="shared" si="9"/>
        <v>0.19146400126329965</v>
      </c>
      <c r="AZ29" s="159" t="str">
        <f t="shared" si="24"/>
        <v>Cost-Saving</v>
      </c>
      <c r="BA29" s="167">
        <f t="shared" si="10"/>
        <v>0.65485399346386453</v>
      </c>
      <c r="BB29" s="159" t="str">
        <f t="shared" si="25"/>
        <v>Cost-Saving</v>
      </c>
      <c r="BC29" s="167">
        <f t="shared" si="11"/>
        <v>0.27145930340502455</v>
      </c>
      <c r="BD29" s="159" t="str">
        <f t="shared" si="26"/>
        <v>Cost-Saving</v>
      </c>
      <c r="BE29" s="162" t="s">
        <v>257</v>
      </c>
      <c r="BF29" s="162" t="s">
        <v>239</v>
      </c>
      <c r="BG29" s="168" t="str">
        <f t="shared" si="12"/>
        <v>.</v>
      </c>
      <c r="BH29" s="168" t="str">
        <f t="shared" si="13"/>
        <v>.</v>
      </c>
      <c r="BI29" s="163" t="str">
        <f t="shared" si="14"/>
        <v>.</v>
      </c>
      <c r="BJ29" s="163" t="str">
        <f t="shared" si="15"/>
        <v>.</v>
      </c>
      <c r="BK29" s="163" t="str">
        <f t="shared" si="27"/>
        <v>.</v>
      </c>
      <c r="BL29" s="163" t="str">
        <f t="shared" si="28"/>
        <v>.</v>
      </c>
      <c r="BM29" s="163">
        <f t="shared" si="29"/>
        <v>0</v>
      </c>
      <c r="BN29" s="163" t="s">
        <v>148</v>
      </c>
      <c r="BP29" s="162" t="s">
        <v>279</v>
      </c>
      <c r="BQ29" s="162" t="s">
        <v>1425</v>
      </c>
      <c r="BR29" s="162" t="s">
        <v>258</v>
      </c>
    </row>
    <row r="30" spans="1:70">
      <c r="A30" s="159">
        <f t="shared" si="17"/>
        <v>12</v>
      </c>
      <c r="B30" s="159">
        <f t="shared" si="18"/>
        <v>2</v>
      </c>
      <c r="C30" s="160" t="str">
        <f t="shared" si="0"/>
        <v>1202</v>
      </c>
      <c r="D30" s="159" t="s">
        <v>250</v>
      </c>
      <c r="E30" s="161">
        <v>2019</v>
      </c>
      <c r="F30" s="162" t="s">
        <v>251</v>
      </c>
      <c r="G30" s="162" t="s">
        <v>252</v>
      </c>
      <c r="H30" s="163" t="str">
        <f t="shared" si="1"/>
        <v>UM</v>
      </c>
      <c r="I30" s="163" t="s">
        <v>148</v>
      </c>
      <c r="J30" s="162" t="s">
        <v>182</v>
      </c>
      <c r="K30" s="163" t="s">
        <v>183</v>
      </c>
      <c r="L30" s="163" t="s">
        <v>151</v>
      </c>
      <c r="M30" s="163" t="str">
        <f t="shared" si="19"/>
        <v>PCV10 vs NoVax</v>
      </c>
      <c r="N30" s="159" t="s">
        <v>152</v>
      </c>
      <c r="O30" s="159">
        <v>3</v>
      </c>
      <c r="P30" s="162" t="s">
        <v>157</v>
      </c>
      <c r="Q30" s="162" t="s">
        <v>153</v>
      </c>
      <c r="R30" s="162" t="s">
        <v>253</v>
      </c>
      <c r="S30" s="162" t="s">
        <v>252</v>
      </c>
      <c r="T30" s="161">
        <v>2018</v>
      </c>
      <c r="U30" s="165">
        <v>1440</v>
      </c>
      <c r="V30" s="165">
        <f>IF(ISNUMBER(U30),U30/VLOOKUP($S30,xRates!$A$1:$AA$267,data!$T30-xRates!$B$1+2,FALSE),U30)</f>
        <v>44.56793373860836</v>
      </c>
      <c r="W30" s="162" t="s">
        <v>254</v>
      </c>
      <c r="Y30" s="165"/>
      <c r="AA30" s="163" t="s">
        <v>148</v>
      </c>
      <c r="AB30" s="162" t="s">
        <v>170</v>
      </c>
      <c r="AC30" s="162" t="s">
        <v>148</v>
      </c>
      <c r="AD30" s="163" t="s">
        <v>157</v>
      </c>
      <c r="AE30" s="162" t="str">
        <f t="shared" si="31"/>
        <v/>
      </c>
      <c r="AF30" s="163" t="s">
        <v>148</v>
      </c>
      <c r="AG30" s="163" t="s">
        <v>148</v>
      </c>
      <c r="AH30" s="163" t="s">
        <v>148</v>
      </c>
      <c r="AJ30" s="162" t="s">
        <v>255</v>
      </c>
      <c r="AK30" s="162" t="s">
        <v>259</v>
      </c>
      <c r="AL30" s="163" t="s">
        <v>159</v>
      </c>
      <c r="AM30" s="166">
        <v>-70854</v>
      </c>
      <c r="AN30" s="166">
        <f>AM30/xRates!$X$194</f>
        <v>-2192.9280396634422</v>
      </c>
      <c r="AO30" s="166">
        <f t="shared" si="3"/>
        <v>7296.8796080000002</v>
      </c>
      <c r="AP30" s="163" t="str">
        <f t="shared" si="32"/>
        <v>Cost-Saving</v>
      </c>
      <c r="AQ30" s="163" t="str">
        <f t="shared" si="20"/>
        <v>Cost-Saving</v>
      </c>
      <c r="AR30" s="167">
        <f t="shared" si="5"/>
        <v>-0.30052956297363131</v>
      </c>
      <c r="AS30" s="167">
        <f t="shared" si="6"/>
        <v>1.1200000000000001</v>
      </c>
      <c r="AT30" s="159" t="str">
        <f t="shared" si="21"/>
        <v>Cost-Saving</v>
      </c>
      <c r="AU30" s="167">
        <f t="shared" si="7"/>
        <v>0.7</v>
      </c>
      <c r="AV30" s="162" t="str">
        <f t="shared" si="22"/>
        <v>Cost-Saving</v>
      </c>
      <c r="AW30" s="167">
        <f t="shared" si="8"/>
        <v>0.63924009905265922</v>
      </c>
      <c r="AX30" s="159" t="str">
        <f t="shared" si="23"/>
        <v>Cost-Saving</v>
      </c>
      <c r="AY30" s="167">
        <f t="shared" si="9"/>
        <v>0.19146400126329965</v>
      </c>
      <c r="AZ30" s="159" t="str">
        <f t="shared" si="24"/>
        <v>Cost-Saving</v>
      </c>
      <c r="BA30" s="167">
        <f t="shared" si="10"/>
        <v>0.65485399346386453</v>
      </c>
      <c r="BB30" s="159" t="str">
        <f t="shared" si="25"/>
        <v>Cost-Saving</v>
      </c>
      <c r="BC30" s="167">
        <f t="shared" si="11"/>
        <v>0.27145930340502455</v>
      </c>
      <c r="BD30" s="159" t="str">
        <f t="shared" si="26"/>
        <v>Cost-Saving</v>
      </c>
      <c r="BE30" s="162" t="s">
        <v>257</v>
      </c>
      <c r="BF30" s="162" t="s">
        <v>239</v>
      </c>
      <c r="BG30" s="168" t="str">
        <f t="shared" si="12"/>
        <v>.</v>
      </c>
      <c r="BH30" s="168" t="str">
        <f t="shared" si="13"/>
        <v>.</v>
      </c>
      <c r="BI30" s="163" t="str">
        <f t="shared" si="14"/>
        <v>.</v>
      </c>
      <c r="BJ30" s="163" t="str">
        <f t="shared" si="15"/>
        <v>.</v>
      </c>
      <c r="BK30" s="163" t="str">
        <f t="shared" si="27"/>
        <v>.</v>
      </c>
      <c r="BL30" s="163" t="str">
        <f t="shared" si="28"/>
        <v>.</v>
      </c>
      <c r="BM30" s="163">
        <f t="shared" si="29"/>
        <v>0</v>
      </c>
      <c r="BN30" s="163" t="s">
        <v>148</v>
      </c>
      <c r="BP30" s="162" t="s">
        <v>279</v>
      </c>
      <c r="BQ30" s="162" t="s">
        <v>1425</v>
      </c>
    </row>
    <row r="31" spans="1:70">
      <c r="A31" s="159">
        <f t="shared" si="17"/>
        <v>12</v>
      </c>
      <c r="B31" s="159">
        <f t="shared" si="18"/>
        <v>3</v>
      </c>
      <c r="C31" s="160" t="str">
        <f t="shared" si="0"/>
        <v>1203</v>
      </c>
      <c r="D31" s="159" t="s">
        <v>250</v>
      </c>
      <c r="E31" s="161">
        <v>2019</v>
      </c>
      <c r="F31" s="162" t="s">
        <v>251</v>
      </c>
      <c r="G31" s="162" t="s">
        <v>252</v>
      </c>
      <c r="H31" s="163" t="str">
        <f t="shared" si="1"/>
        <v>UM</v>
      </c>
      <c r="I31" s="163" t="s">
        <v>148</v>
      </c>
      <c r="J31" s="162" t="s">
        <v>185</v>
      </c>
      <c r="K31" s="163" t="s">
        <v>186</v>
      </c>
      <c r="L31" s="163" t="s">
        <v>151</v>
      </c>
      <c r="M31" s="163" t="str">
        <f t="shared" si="19"/>
        <v>PCV13 vs NoVax</v>
      </c>
      <c r="N31" s="159" t="s">
        <v>198</v>
      </c>
      <c r="O31" s="159">
        <v>4</v>
      </c>
      <c r="P31" s="162" t="s">
        <v>157</v>
      </c>
      <c r="Q31" s="162" t="s">
        <v>153</v>
      </c>
      <c r="R31" s="162" t="s">
        <v>253</v>
      </c>
      <c r="S31" s="162" t="s">
        <v>252</v>
      </c>
      <c r="T31" s="161">
        <v>2018</v>
      </c>
      <c r="U31" s="165">
        <v>1146</v>
      </c>
      <c r="V31" s="165">
        <f>IF(ISNUMBER(U31),U31/VLOOKUP($S31,xRates!$A$1:$AA$267,data!$T31-xRates!$B$1+2,FALSE),U31)</f>
        <v>35.468647266975815</v>
      </c>
      <c r="W31" s="162" t="s">
        <v>254</v>
      </c>
      <c r="Y31" s="165"/>
      <c r="AA31" s="163" t="s">
        <v>148</v>
      </c>
      <c r="AB31" s="162" t="s">
        <v>170</v>
      </c>
      <c r="AC31" s="162" t="s">
        <v>148</v>
      </c>
      <c r="AD31" s="163" t="s">
        <v>157</v>
      </c>
      <c r="AE31" s="162" t="str">
        <f t="shared" si="31"/>
        <v/>
      </c>
      <c r="AF31" s="163" t="s">
        <v>148</v>
      </c>
      <c r="AG31" s="163" t="s">
        <v>148</v>
      </c>
      <c r="AH31" s="163" t="s">
        <v>148</v>
      </c>
      <c r="AJ31" s="162" t="s">
        <v>255</v>
      </c>
      <c r="AK31" s="162" t="s">
        <v>260</v>
      </c>
      <c r="AL31" s="163" t="s">
        <v>159</v>
      </c>
      <c r="AM31" s="166">
        <v>-84770</v>
      </c>
      <c r="AN31" s="166">
        <f>AM31/xRates!$X$194</f>
        <v>-2623.6275993207155</v>
      </c>
      <c r="AO31" s="166">
        <f t="shared" si="3"/>
        <v>7296.8796080000002</v>
      </c>
      <c r="AP31" s="163" t="str">
        <f t="shared" si="32"/>
        <v>Cost-Saving</v>
      </c>
      <c r="AQ31" s="163" t="str">
        <f t="shared" si="20"/>
        <v>Cost-Saving</v>
      </c>
      <c r="AR31" s="167">
        <f t="shared" si="5"/>
        <v>-0.35955473301824487</v>
      </c>
      <c r="AS31" s="167">
        <f t="shared" si="6"/>
        <v>1.1200000000000001</v>
      </c>
      <c r="AT31" s="159" t="str">
        <f t="shared" si="21"/>
        <v>Cost-Saving</v>
      </c>
      <c r="AU31" s="167">
        <f t="shared" si="7"/>
        <v>0.7</v>
      </c>
      <c r="AV31" s="162" t="str">
        <f t="shared" si="22"/>
        <v>Cost-Saving</v>
      </c>
      <c r="AW31" s="167">
        <f t="shared" si="8"/>
        <v>0.63924009905265922</v>
      </c>
      <c r="AX31" s="159" t="str">
        <f t="shared" si="23"/>
        <v>Cost-Saving</v>
      </c>
      <c r="AY31" s="167">
        <f t="shared" si="9"/>
        <v>0.19146400126329965</v>
      </c>
      <c r="AZ31" s="159" t="str">
        <f t="shared" si="24"/>
        <v>Cost-Saving</v>
      </c>
      <c r="BA31" s="167">
        <f t="shared" si="10"/>
        <v>0.65485399346386453</v>
      </c>
      <c r="BB31" s="159" t="str">
        <f t="shared" si="25"/>
        <v>Cost-Saving</v>
      </c>
      <c r="BC31" s="167">
        <f t="shared" si="11"/>
        <v>0.27145930340502455</v>
      </c>
      <c r="BD31" s="159" t="str">
        <f t="shared" si="26"/>
        <v>Cost-Saving</v>
      </c>
      <c r="BE31" s="162" t="s">
        <v>257</v>
      </c>
      <c r="BF31" s="162" t="s">
        <v>239</v>
      </c>
      <c r="BG31" s="168" t="str">
        <f t="shared" si="12"/>
        <v>.</v>
      </c>
      <c r="BH31" s="168" t="str">
        <f t="shared" si="13"/>
        <v>.</v>
      </c>
      <c r="BI31" s="163" t="str">
        <f t="shared" si="14"/>
        <v>.</v>
      </c>
      <c r="BJ31" s="163" t="str">
        <f t="shared" si="15"/>
        <v>.</v>
      </c>
      <c r="BK31" s="163" t="str">
        <f t="shared" si="27"/>
        <v>.</v>
      </c>
      <c r="BL31" s="163" t="str">
        <f t="shared" si="28"/>
        <v>.</v>
      </c>
      <c r="BM31" s="163">
        <f t="shared" si="29"/>
        <v>0</v>
      </c>
      <c r="BN31" s="163" t="s">
        <v>148</v>
      </c>
      <c r="BP31" s="162" t="s">
        <v>279</v>
      </c>
      <c r="BQ31" s="162" t="s">
        <v>1425</v>
      </c>
    </row>
    <row r="32" spans="1:70">
      <c r="A32" s="159">
        <f t="shared" si="17"/>
        <v>12</v>
      </c>
      <c r="B32" s="159">
        <f t="shared" si="18"/>
        <v>4</v>
      </c>
      <c r="C32" s="160" t="str">
        <f t="shared" si="0"/>
        <v>1204</v>
      </c>
      <c r="D32" s="159" t="s">
        <v>250</v>
      </c>
      <c r="E32" s="161">
        <v>2019</v>
      </c>
      <c r="F32" s="162" t="s">
        <v>251</v>
      </c>
      <c r="G32" s="162" t="s">
        <v>252</v>
      </c>
      <c r="H32" s="163" t="str">
        <f t="shared" si="1"/>
        <v>UM</v>
      </c>
      <c r="I32" s="163" t="s">
        <v>148</v>
      </c>
      <c r="J32" s="162" t="s">
        <v>185</v>
      </c>
      <c r="K32" s="163" t="s">
        <v>186</v>
      </c>
      <c r="L32" s="163" t="s">
        <v>151</v>
      </c>
      <c r="M32" s="163" t="str">
        <f t="shared" si="19"/>
        <v>PCV13 vs NoVax</v>
      </c>
      <c r="N32" s="159" t="s">
        <v>152</v>
      </c>
      <c r="O32" s="159">
        <v>3</v>
      </c>
      <c r="P32" s="162" t="s">
        <v>157</v>
      </c>
      <c r="Q32" s="162" t="s">
        <v>153</v>
      </c>
      <c r="R32" s="162" t="s">
        <v>253</v>
      </c>
      <c r="S32" s="162" t="s">
        <v>252</v>
      </c>
      <c r="T32" s="161">
        <v>2018</v>
      </c>
      <c r="U32" s="165">
        <v>1146</v>
      </c>
      <c r="V32" s="165">
        <f>IF(ISNUMBER(U32),U32/VLOOKUP($S32,xRates!$A$1:$AA$267,data!$T32-xRates!$B$1+2,FALSE),U32)</f>
        <v>35.468647266975815</v>
      </c>
      <c r="W32" s="162" t="s">
        <v>254</v>
      </c>
      <c r="Y32" s="165"/>
      <c r="AA32" s="163" t="s">
        <v>148</v>
      </c>
      <c r="AB32" s="162" t="s">
        <v>170</v>
      </c>
      <c r="AC32" s="162" t="s">
        <v>148</v>
      </c>
      <c r="AD32" s="163" t="s">
        <v>157</v>
      </c>
      <c r="AE32" s="162" t="str">
        <f t="shared" si="31"/>
        <v/>
      </c>
      <c r="AF32" s="163" t="s">
        <v>148</v>
      </c>
      <c r="AG32" s="163" t="s">
        <v>148</v>
      </c>
      <c r="AH32" s="163" t="s">
        <v>148</v>
      </c>
      <c r="AJ32" s="162" t="s">
        <v>255</v>
      </c>
      <c r="AK32" s="162" t="s">
        <v>261</v>
      </c>
      <c r="AL32" s="163" t="s">
        <v>159</v>
      </c>
      <c r="AM32" s="166">
        <v>-99394</v>
      </c>
      <c r="AN32" s="166">
        <f>AM32/xRates!$X$194</f>
        <v>-3076.2397263994717</v>
      </c>
      <c r="AO32" s="166">
        <f t="shared" si="3"/>
        <v>7296.8796080000002</v>
      </c>
      <c r="AP32" s="163" t="str">
        <f t="shared" si="32"/>
        <v>Cost-Saving</v>
      </c>
      <c r="AQ32" s="163" t="str">
        <f t="shared" si="20"/>
        <v>Cost-Saving</v>
      </c>
      <c r="AR32" s="167">
        <f t="shared" si="5"/>
        <v>-0.42158290826489836</v>
      </c>
      <c r="AS32" s="167">
        <f t="shared" si="6"/>
        <v>1.1200000000000001</v>
      </c>
      <c r="AT32" s="159" t="str">
        <f t="shared" si="21"/>
        <v>Cost-Saving</v>
      </c>
      <c r="AU32" s="167">
        <f t="shared" si="7"/>
        <v>0.7</v>
      </c>
      <c r="AV32" s="162" t="str">
        <f t="shared" si="22"/>
        <v>Cost-Saving</v>
      </c>
      <c r="AW32" s="167">
        <f t="shared" si="8"/>
        <v>0.63924009905265922</v>
      </c>
      <c r="AX32" s="159" t="str">
        <f t="shared" si="23"/>
        <v>Cost-Saving</v>
      </c>
      <c r="AY32" s="167">
        <f t="shared" si="9"/>
        <v>0.19146400126329965</v>
      </c>
      <c r="AZ32" s="159" t="str">
        <f t="shared" si="24"/>
        <v>Cost-Saving</v>
      </c>
      <c r="BA32" s="167">
        <f t="shared" si="10"/>
        <v>0.65485399346386453</v>
      </c>
      <c r="BB32" s="159" t="str">
        <f t="shared" si="25"/>
        <v>Cost-Saving</v>
      </c>
      <c r="BC32" s="167">
        <f t="shared" si="11"/>
        <v>0.27145930340502455</v>
      </c>
      <c r="BD32" s="159" t="str">
        <f t="shared" si="26"/>
        <v>Cost-Saving</v>
      </c>
      <c r="BE32" s="162" t="s">
        <v>257</v>
      </c>
      <c r="BF32" s="162" t="s">
        <v>239</v>
      </c>
      <c r="BG32" s="168" t="str">
        <f t="shared" si="12"/>
        <v>.</v>
      </c>
      <c r="BH32" s="168" t="str">
        <f t="shared" si="13"/>
        <v>.</v>
      </c>
      <c r="BI32" s="163" t="str">
        <f t="shared" si="14"/>
        <v>.</v>
      </c>
      <c r="BJ32" s="163" t="str">
        <f t="shared" si="15"/>
        <v>.</v>
      </c>
      <c r="BK32" s="163" t="str">
        <f t="shared" si="27"/>
        <v>.</v>
      </c>
      <c r="BL32" s="163" t="str">
        <f t="shared" si="28"/>
        <v>.</v>
      </c>
      <c r="BM32" s="163">
        <f t="shared" si="29"/>
        <v>0</v>
      </c>
      <c r="BN32" s="163" t="s">
        <v>148</v>
      </c>
      <c r="BP32" s="162" t="s">
        <v>279</v>
      </c>
      <c r="BQ32" s="162" t="s">
        <v>1425</v>
      </c>
    </row>
    <row r="33" spans="1:69">
      <c r="A33" s="159">
        <f t="shared" si="17"/>
        <v>12</v>
      </c>
      <c r="B33" s="159">
        <f t="shared" si="18"/>
        <v>5</v>
      </c>
      <c r="C33" s="160" t="str">
        <f t="shared" si="0"/>
        <v>1205</v>
      </c>
      <c r="D33" s="159" t="s">
        <v>250</v>
      </c>
      <c r="E33" s="161">
        <v>2019</v>
      </c>
      <c r="F33" s="162" t="s">
        <v>251</v>
      </c>
      <c r="G33" s="162" t="s">
        <v>252</v>
      </c>
      <c r="H33" s="163" t="str">
        <f t="shared" si="1"/>
        <v>UM</v>
      </c>
      <c r="I33" s="163" t="s">
        <v>148</v>
      </c>
      <c r="J33" s="162" t="s">
        <v>182</v>
      </c>
      <c r="K33" s="163" t="s">
        <v>183</v>
      </c>
      <c r="L33" s="163" t="s">
        <v>151</v>
      </c>
      <c r="M33" s="163" t="str">
        <f t="shared" si="19"/>
        <v>PCV10 vs NoVax</v>
      </c>
      <c r="N33" s="159" t="s">
        <v>198</v>
      </c>
      <c r="O33" s="159">
        <v>4</v>
      </c>
      <c r="P33" s="162" t="s">
        <v>157</v>
      </c>
      <c r="Q33" s="162" t="s">
        <v>153</v>
      </c>
      <c r="R33" s="162" t="s">
        <v>253</v>
      </c>
      <c r="S33" s="162" t="s">
        <v>252</v>
      </c>
      <c r="T33" s="161">
        <v>2018</v>
      </c>
      <c r="U33" s="165">
        <v>1440</v>
      </c>
      <c r="V33" s="165">
        <f>IF(ISNUMBER(U33),U33/VLOOKUP($S33,xRates!$A$1:$AA$267,data!$T33-xRates!$B$1+2,FALSE),U33)</f>
        <v>44.56793373860836</v>
      </c>
      <c r="W33" s="162" t="s">
        <v>254</v>
      </c>
      <c r="Y33" s="165"/>
      <c r="AA33" s="163" t="s">
        <v>157</v>
      </c>
      <c r="AB33" s="162"/>
      <c r="AD33" s="163" t="s">
        <v>157</v>
      </c>
      <c r="AE33" s="162" t="str">
        <f t="shared" si="31"/>
        <v/>
      </c>
      <c r="AF33" s="163" t="s">
        <v>148</v>
      </c>
      <c r="AG33" s="163" t="s">
        <v>148</v>
      </c>
      <c r="AH33" s="163" t="s">
        <v>148</v>
      </c>
      <c r="AJ33" s="162" t="s">
        <v>255</v>
      </c>
      <c r="AK33" s="162" t="s">
        <v>262</v>
      </c>
      <c r="AL33" s="163" t="s">
        <v>159</v>
      </c>
      <c r="AM33" s="166">
        <v>215948</v>
      </c>
      <c r="AN33" s="166">
        <f>AM33/xRates!$X$194</f>
        <v>6683.580663184026</v>
      </c>
      <c r="AO33" s="166">
        <f t="shared" si="3"/>
        <v>7296.8796080000002</v>
      </c>
      <c r="AP33" s="163" t="str">
        <f t="shared" si="32"/>
        <v>Cost-Effective</v>
      </c>
      <c r="AQ33" s="163" t="str">
        <f>IF(AN33="NA", ".", IF(AN33&lt;0,"Cost-Saving",IF(AN33&lt;=AO33*3,"Cost-Effective",IF(AN33&gt;AO33*3&amp;AN33&lt;&gt;"NA","Not Cost-Effective","Missing"))))</f>
        <v>Cost-Effective</v>
      </c>
      <c r="AR33" s="167">
        <f t="shared" si="5"/>
        <v>0.91595051888432166</v>
      </c>
      <c r="AS33" s="167">
        <f t="shared" si="6"/>
        <v>1.1200000000000001</v>
      </c>
      <c r="AT33" s="159" t="str">
        <f t="shared" si="21"/>
        <v>Cost-Effective</v>
      </c>
      <c r="AU33" s="167">
        <f t="shared" si="7"/>
        <v>0.7</v>
      </c>
      <c r="AV33" s="162" t="str">
        <f t="shared" si="22"/>
        <v>Not Cost-Effective</v>
      </c>
      <c r="AW33" s="167">
        <f t="shared" si="8"/>
        <v>0.63924009905265922</v>
      </c>
      <c r="AX33" s="159" t="str">
        <f t="shared" si="23"/>
        <v>Not Cost-Effective</v>
      </c>
      <c r="AY33" s="167">
        <f t="shared" si="9"/>
        <v>0.19146400126329965</v>
      </c>
      <c r="AZ33" s="159" t="str">
        <f t="shared" si="24"/>
        <v>Not Cost-Effective</v>
      </c>
      <c r="BA33" s="167">
        <f t="shared" si="10"/>
        <v>0.65485399346386453</v>
      </c>
      <c r="BB33" s="159" t="str">
        <f t="shared" si="25"/>
        <v>Not Cost-Effective</v>
      </c>
      <c r="BC33" s="167">
        <f t="shared" si="11"/>
        <v>0.27145930340502455</v>
      </c>
      <c r="BD33" s="159" t="str">
        <f t="shared" si="26"/>
        <v>Not Cost-Effective</v>
      </c>
      <c r="BE33" s="162" t="s">
        <v>257</v>
      </c>
      <c r="BF33" s="162" t="s">
        <v>161</v>
      </c>
      <c r="BG33" s="168" t="str">
        <f t="shared" si="12"/>
        <v>.</v>
      </c>
      <c r="BH33" s="168" t="str">
        <f t="shared" si="13"/>
        <v>.</v>
      </c>
      <c r="BI33" s="163" t="str">
        <f t="shared" si="14"/>
        <v>.</v>
      </c>
      <c r="BJ33" s="163" t="str">
        <f t="shared" si="15"/>
        <v>.</v>
      </c>
      <c r="BK33" s="163" t="str">
        <f t="shared" si="27"/>
        <v>.</v>
      </c>
      <c r="BL33" s="163" t="str">
        <f t="shared" si="28"/>
        <v>.</v>
      </c>
      <c r="BM33" s="163">
        <f t="shared" si="29"/>
        <v>0</v>
      </c>
      <c r="BN33" s="163" t="s">
        <v>148</v>
      </c>
      <c r="BO33" s="162" t="s">
        <v>263</v>
      </c>
      <c r="BP33" s="162" t="s">
        <v>279</v>
      </c>
      <c r="BQ33" s="162" t="s">
        <v>1425</v>
      </c>
    </row>
    <row r="34" spans="1:69">
      <c r="A34" s="159">
        <f t="shared" si="17"/>
        <v>12</v>
      </c>
      <c r="B34" s="159">
        <f t="shared" si="18"/>
        <v>6</v>
      </c>
      <c r="C34" s="160" t="str">
        <f t="shared" si="0"/>
        <v>1206</v>
      </c>
      <c r="D34" s="159" t="s">
        <v>250</v>
      </c>
      <c r="E34" s="161">
        <v>2019</v>
      </c>
      <c r="F34" s="162" t="s">
        <v>251</v>
      </c>
      <c r="G34" s="162" t="s">
        <v>252</v>
      </c>
      <c r="H34" s="163" t="str">
        <f t="shared" si="1"/>
        <v>UM</v>
      </c>
      <c r="I34" s="163" t="s">
        <v>148</v>
      </c>
      <c r="J34" s="162" t="s">
        <v>182</v>
      </c>
      <c r="K34" s="163" t="s">
        <v>183</v>
      </c>
      <c r="L34" s="163" t="s">
        <v>151</v>
      </c>
      <c r="M34" s="163" t="str">
        <f t="shared" si="19"/>
        <v>PCV10 vs NoVax</v>
      </c>
      <c r="N34" s="159" t="s">
        <v>152</v>
      </c>
      <c r="O34" s="159">
        <v>3</v>
      </c>
      <c r="P34" s="162" t="s">
        <v>148</v>
      </c>
      <c r="Q34" s="162" t="s">
        <v>153</v>
      </c>
      <c r="R34" s="162" t="s">
        <v>253</v>
      </c>
      <c r="S34" s="162" t="s">
        <v>252</v>
      </c>
      <c r="T34" s="161">
        <v>2018</v>
      </c>
      <c r="U34" s="165">
        <v>1440</v>
      </c>
      <c r="V34" s="165">
        <f>IF(ISNUMBER(U34),U34/VLOOKUP($S34,xRates!$A$1:$AA$267,data!$T34-xRates!$B$1+2,FALSE),U34)</f>
        <v>44.56793373860836</v>
      </c>
      <c r="W34" s="162" t="s">
        <v>254</v>
      </c>
      <c r="Y34" s="165"/>
      <c r="AA34" s="163" t="s">
        <v>157</v>
      </c>
      <c r="AB34" s="162"/>
      <c r="AD34" s="163" t="s">
        <v>157</v>
      </c>
      <c r="AE34" s="162" t="str">
        <f t="shared" si="31"/>
        <v/>
      </c>
      <c r="AF34" s="163" t="s">
        <v>148</v>
      </c>
      <c r="AG34" s="163" t="s">
        <v>148</v>
      </c>
      <c r="AH34" s="163" t="s">
        <v>148</v>
      </c>
      <c r="AJ34" s="162" t="s">
        <v>255</v>
      </c>
      <c r="AK34" s="162" t="s">
        <v>264</v>
      </c>
      <c r="AL34" s="163" t="s">
        <v>159</v>
      </c>
      <c r="AM34" s="166">
        <v>170437</v>
      </c>
      <c r="AN34" s="166">
        <f>AM34/xRates!$X$194</f>
        <v>5275.0173073661063</v>
      </c>
      <c r="AO34" s="166">
        <f t="shared" si="3"/>
        <v>7296.8796080000002</v>
      </c>
      <c r="AP34" s="163" t="str">
        <f t="shared" si="32"/>
        <v>Cost-Effective</v>
      </c>
      <c r="AQ34" s="163" t="str">
        <f t="shared" si="20"/>
        <v>Cost-Effective</v>
      </c>
      <c r="AR34" s="167">
        <f t="shared" si="5"/>
        <v>0.72291412093229457</v>
      </c>
      <c r="AS34" s="167">
        <f t="shared" ref="AS34:AS65" si="33">IFERROR(VLOOKUP(G34,ochalek,11,FALSE),".")</f>
        <v>1.1200000000000001</v>
      </c>
      <c r="AT34" s="159" t="str">
        <f t="shared" si="21"/>
        <v>Cost-Effective</v>
      </c>
      <c r="AU34" s="167">
        <f t="shared" ref="AU34:AU65" si="34">IFERROR(VLOOKUP(G34,ochalek,10,FALSE),".")</f>
        <v>0.7</v>
      </c>
      <c r="AV34" s="162" t="str">
        <f t="shared" si="22"/>
        <v>Not Cost-Effective</v>
      </c>
      <c r="AW34" s="167">
        <f t="shared" ref="AW34:AW65" si="35">IFERROR(VLOOKUP(G34,woods,6,FALSE),".")</f>
        <v>0.63924009905265922</v>
      </c>
      <c r="AX34" s="159" t="str">
        <f t="shared" si="23"/>
        <v>Not Cost-Effective</v>
      </c>
      <c r="AY34" s="167">
        <f t="shared" ref="AY34:AY65" si="36">IFERROR(VLOOKUP(G34,woods,5,FALSE),".")</f>
        <v>0.19146400126329965</v>
      </c>
      <c r="AZ34" s="159" t="str">
        <f t="shared" si="24"/>
        <v>Not Cost-Effective</v>
      </c>
      <c r="BA34" s="167">
        <f t="shared" ref="BA34:BA65" si="37">IFERROR(VLOOKUP(G34,riviere,8,FALSE),".")</f>
        <v>0.65485399346386453</v>
      </c>
      <c r="BB34" s="159" t="str">
        <f t="shared" si="25"/>
        <v>Not Cost-Effective</v>
      </c>
      <c r="BC34" s="167">
        <f t="shared" ref="BC34:BC65" si="38">IFERROR(VLOOKUP(G34,riviere,7,FALSE),".")</f>
        <v>0.27145930340502455</v>
      </c>
      <c r="BD34" s="159" t="str">
        <f t="shared" si="26"/>
        <v>Not Cost-Effective</v>
      </c>
      <c r="BE34" s="162" t="s">
        <v>257</v>
      </c>
      <c r="BF34" s="162" t="s">
        <v>161</v>
      </c>
      <c r="BG34" s="168" t="str">
        <f t="shared" ref="BG34:BG65" si="39">IF(BF34="Cost-Effective",IF(AV34="Not Cost-Effective",1,0),".")</f>
        <v>.</v>
      </c>
      <c r="BH34" s="168" t="str">
        <f t="shared" ref="BH34:BH65" si="40">IF(BF34="Cost-Effective",IF(AT34="Not Cost-Effective",1,0),".")</f>
        <v>.</v>
      </c>
      <c r="BI34" s="163" t="str">
        <f t="shared" ref="BI34:BI65" si="41">IF(BF34="Cost-Effective",IF(AZ34="Not Cost-Effective",1,0),".")</f>
        <v>.</v>
      </c>
      <c r="BJ34" s="163" t="str">
        <f t="shared" ref="BJ34:BJ65" si="42">IF(BF34="Cost-Effective",IF(AX34="Not Cost-Effective",1,0),".")</f>
        <v>.</v>
      </c>
      <c r="BK34" s="163" t="str">
        <f t="shared" si="27"/>
        <v>.</v>
      </c>
      <c r="BL34" s="163" t="str">
        <f t="shared" si="28"/>
        <v>.</v>
      </c>
      <c r="BM34" s="163">
        <f t="shared" si="29"/>
        <v>0</v>
      </c>
      <c r="BN34" s="163" t="s">
        <v>148</v>
      </c>
      <c r="BO34" s="162" t="s">
        <v>265</v>
      </c>
      <c r="BP34" s="162" t="s">
        <v>279</v>
      </c>
      <c r="BQ34" s="162" t="s">
        <v>1425</v>
      </c>
    </row>
    <row r="35" spans="1:69">
      <c r="A35" s="159">
        <f t="shared" si="17"/>
        <v>12</v>
      </c>
      <c r="B35" s="159">
        <f t="shared" si="18"/>
        <v>7</v>
      </c>
      <c r="C35" s="160" t="str">
        <f t="shared" si="0"/>
        <v>1207</v>
      </c>
      <c r="D35" s="159" t="s">
        <v>250</v>
      </c>
      <c r="E35" s="161">
        <v>2019</v>
      </c>
      <c r="F35" s="162" t="s">
        <v>251</v>
      </c>
      <c r="G35" s="162" t="s">
        <v>252</v>
      </c>
      <c r="H35" s="163" t="str">
        <f t="shared" ref="H35:H66" si="43">VLOOKUP(G35,income,T35-1985,FALSE)</f>
        <v>UM</v>
      </c>
      <c r="I35" s="163" t="s">
        <v>148</v>
      </c>
      <c r="J35" s="162" t="s">
        <v>185</v>
      </c>
      <c r="K35" s="163" t="s">
        <v>186</v>
      </c>
      <c r="L35" s="163" t="s">
        <v>151</v>
      </c>
      <c r="M35" s="163" t="str">
        <f t="shared" si="19"/>
        <v>PCV13 vs NoVax</v>
      </c>
      <c r="N35" s="159" t="s">
        <v>198</v>
      </c>
      <c r="O35" s="159">
        <v>4</v>
      </c>
      <c r="P35" s="162" t="s">
        <v>157</v>
      </c>
      <c r="Q35" s="162" t="s">
        <v>153</v>
      </c>
      <c r="R35" s="162" t="s">
        <v>253</v>
      </c>
      <c r="S35" s="162" t="s">
        <v>252</v>
      </c>
      <c r="T35" s="161">
        <v>2018</v>
      </c>
      <c r="U35" s="165">
        <v>1146</v>
      </c>
      <c r="V35" s="165">
        <f>IF(ISNUMBER(U35),U35/VLOOKUP($S35,xRates!$A$1:$AA$267,data!$T35-xRates!$B$1+2,FALSE),U35)</f>
        <v>35.468647266975815</v>
      </c>
      <c r="W35" s="162" t="s">
        <v>254</v>
      </c>
      <c r="Y35" s="165"/>
      <c r="AA35" s="163" t="s">
        <v>157</v>
      </c>
      <c r="AB35" s="162"/>
      <c r="AD35" s="163" t="s">
        <v>157</v>
      </c>
      <c r="AE35" s="162" t="str">
        <f t="shared" si="31"/>
        <v/>
      </c>
      <c r="AF35" s="163" t="s">
        <v>148</v>
      </c>
      <c r="AG35" s="163" t="s">
        <v>148</v>
      </c>
      <c r="AH35" s="163" t="s">
        <v>148</v>
      </c>
      <c r="AJ35" s="162" t="s">
        <v>255</v>
      </c>
      <c r="AK35" s="162" t="s">
        <v>266</v>
      </c>
      <c r="AL35" s="163" t="s">
        <v>159</v>
      </c>
      <c r="AM35" s="166">
        <v>97269</v>
      </c>
      <c r="AN35" s="166">
        <f>AM35/xRates!$X$194</f>
        <v>3010.4710741810391</v>
      </c>
      <c r="AO35" s="166">
        <f t="shared" ref="AO35:AO66" si="44">VLOOKUP(G35,gdppc,T35-1958,FALSE)</f>
        <v>7296.8796080000002</v>
      </c>
      <c r="AP35" s="163" t="str">
        <f t="shared" si="32"/>
        <v>Cost-Effective</v>
      </c>
      <c r="AQ35" s="163" t="str">
        <f t="shared" si="20"/>
        <v>Cost-Effective</v>
      </c>
      <c r="AR35" s="167">
        <f t="shared" si="5"/>
        <v>0.41256965112600757</v>
      </c>
      <c r="AS35" s="167">
        <f t="shared" si="33"/>
        <v>1.1200000000000001</v>
      </c>
      <c r="AT35" s="159" t="str">
        <f t="shared" si="21"/>
        <v>Cost-Effective</v>
      </c>
      <c r="AU35" s="167">
        <f t="shared" si="34"/>
        <v>0.7</v>
      </c>
      <c r="AV35" s="162" t="str">
        <f t="shared" si="22"/>
        <v>Cost-Effective</v>
      </c>
      <c r="AW35" s="167">
        <f t="shared" si="35"/>
        <v>0.63924009905265922</v>
      </c>
      <c r="AX35" s="159" t="str">
        <f t="shared" si="23"/>
        <v>Cost-Effective</v>
      </c>
      <c r="AY35" s="167">
        <f t="shared" si="36"/>
        <v>0.19146400126329965</v>
      </c>
      <c r="AZ35" s="159" t="str">
        <f t="shared" si="24"/>
        <v>Not Cost-Effective</v>
      </c>
      <c r="BA35" s="167">
        <f t="shared" si="37"/>
        <v>0.65485399346386453</v>
      </c>
      <c r="BB35" s="159" t="str">
        <f t="shared" si="25"/>
        <v>Cost-Effective</v>
      </c>
      <c r="BC35" s="167">
        <f t="shared" si="38"/>
        <v>0.27145930340502455</v>
      </c>
      <c r="BD35" s="159" t="str">
        <f t="shared" si="26"/>
        <v>Not Cost-Effective</v>
      </c>
      <c r="BE35" s="162" t="s">
        <v>257</v>
      </c>
      <c r="BF35" s="162" t="s">
        <v>174</v>
      </c>
      <c r="BG35" s="168">
        <f t="shared" si="39"/>
        <v>0</v>
      </c>
      <c r="BH35" s="168">
        <f t="shared" si="40"/>
        <v>0</v>
      </c>
      <c r="BI35" s="163">
        <f t="shared" si="41"/>
        <v>1</v>
      </c>
      <c r="BJ35" s="163">
        <f t="shared" si="42"/>
        <v>0</v>
      </c>
      <c r="BK35" s="163">
        <f t="shared" si="27"/>
        <v>1</v>
      </c>
      <c r="BL35" s="163">
        <f t="shared" si="28"/>
        <v>0</v>
      </c>
      <c r="BM35" s="163">
        <f t="shared" si="29"/>
        <v>2</v>
      </c>
      <c r="BN35" s="163" t="s">
        <v>148</v>
      </c>
      <c r="BO35" s="162" t="s">
        <v>267</v>
      </c>
      <c r="BP35" s="162" t="s">
        <v>279</v>
      </c>
      <c r="BQ35" s="162" t="s">
        <v>1425</v>
      </c>
    </row>
    <row r="36" spans="1:69">
      <c r="A36" s="159">
        <f t="shared" si="17"/>
        <v>12</v>
      </c>
      <c r="B36" s="159">
        <f t="shared" si="18"/>
        <v>8</v>
      </c>
      <c r="C36" s="160" t="str">
        <f t="shared" si="0"/>
        <v>1208</v>
      </c>
      <c r="D36" s="159" t="s">
        <v>250</v>
      </c>
      <c r="E36" s="161">
        <v>2019</v>
      </c>
      <c r="F36" s="162" t="s">
        <v>251</v>
      </c>
      <c r="G36" s="162" t="s">
        <v>252</v>
      </c>
      <c r="H36" s="163" t="str">
        <f t="shared" si="43"/>
        <v>UM</v>
      </c>
      <c r="I36" s="163" t="s">
        <v>148</v>
      </c>
      <c r="J36" s="162" t="s">
        <v>185</v>
      </c>
      <c r="K36" s="163" t="s">
        <v>186</v>
      </c>
      <c r="L36" s="163" t="s">
        <v>151</v>
      </c>
      <c r="M36" s="163" t="str">
        <f t="shared" si="19"/>
        <v>PCV13 vs NoVax</v>
      </c>
      <c r="N36" s="159" t="s">
        <v>152</v>
      </c>
      <c r="O36" s="159">
        <v>3</v>
      </c>
      <c r="P36" s="162" t="s">
        <v>148</v>
      </c>
      <c r="Q36" s="162" t="s">
        <v>153</v>
      </c>
      <c r="R36" s="162" t="s">
        <v>253</v>
      </c>
      <c r="S36" s="162" t="s">
        <v>252</v>
      </c>
      <c r="T36" s="161">
        <v>2018</v>
      </c>
      <c r="U36" s="165">
        <v>1146</v>
      </c>
      <c r="V36" s="165">
        <f>IF(ISNUMBER(U36),U36/VLOOKUP($S36,xRates!$A$1:$AA$267,data!$T36-xRates!$B$1+2,FALSE),U36)</f>
        <v>35.468647266975815</v>
      </c>
      <c r="W36" s="162" t="s">
        <v>254</v>
      </c>
      <c r="Y36" s="165"/>
      <c r="AA36" s="163" t="s">
        <v>157</v>
      </c>
      <c r="AB36" s="162"/>
      <c r="AD36" s="163" t="s">
        <v>157</v>
      </c>
      <c r="AE36" s="162" t="str">
        <f t="shared" si="31"/>
        <v/>
      </c>
      <c r="AF36" s="163" t="s">
        <v>148</v>
      </c>
      <c r="AG36" s="163" t="s">
        <v>148</v>
      </c>
      <c r="AH36" s="163" t="s">
        <v>148</v>
      </c>
      <c r="AJ36" s="162" t="s">
        <v>255</v>
      </c>
      <c r="AK36" s="162" t="s">
        <v>268</v>
      </c>
      <c r="AL36" s="163" t="s">
        <v>159</v>
      </c>
      <c r="AM36" s="166">
        <v>73674</v>
      </c>
      <c r="AN36" s="166">
        <f>AM36/xRates!$X$194</f>
        <v>2280.2069099015503</v>
      </c>
      <c r="AO36" s="166">
        <f t="shared" si="44"/>
        <v>7296.8796080000002</v>
      </c>
      <c r="AP36" s="163" t="str">
        <f t="shared" si="32"/>
        <v>Cost-Effective</v>
      </c>
      <c r="AQ36" s="163" t="str">
        <f t="shared" si="20"/>
        <v>Cost-Effective</v>
      </c>
      <c r="AR36" s="167">
        <f t="shared" si="5"/>
        <v>0.31249068538853575</v>
      </c>
      <c r="AS36" s="167">
        <f t="shared" si="33"/>
        <v>1.1200000000000001</v>
      </c>
      <c r="AT36" s="159" t="str">
        <f t="shared" si="21"/>
        <v>Cost-Effective</v>
      </c>
      <c r="AU36" s="167">
        <f t="shared" si="34"/>
        <v>0.7</v>
      </c>
      <c r="AV36" s="162" t="str">
        <f t="shared" si="22"/>
        <v>Cost-Effective</v>
      </c>
      <c r="AW36" s="167">
        <f t="shared" si="35"/>
        <v>0.63924009905265922</v>
      </c>
      <c r="AX36" s="159" t="str">
        <f t="shared" si="23"/>
        <v>Cost-Effective</v>
      </c>
      <c r="AY36" s="167">
        <f t="shared" si="36"/>
        <v>0.19146400126329965</v>
      </c>
      <c r="AZ36" s="159" t="str">
        <f t="shared" si="24"/>
        <v>Not Cost-Effective</v>
      </c>
      <c r="BA36" s="167">
        <f t="shared" si="37"/>
        <v>0.65485399346386453</v>
      </c>
      <c r="BB36" s="159" t="str">
        <f t="shared" si="25"/>
        <v>Cost-Effective</v>
      </c>
      <c r="BC36" s="167">
        <f t="shared" si="38"/>
        <v>0.27145930340502455</v>
      </c>
      <c r="BD36" s="159" t="str">
        <f t="shared" si="26"/>
        <v>Not Cost-Effective</v>
      </c>
      <c r="BE36" s="162" t="s">
        <v>257</v>
      </c>
      <c r="BF36" s="162" t="s">
        <v>174</v>
      </c>
      <c r="BG36" s="168">
        <f t="shared" si="39"/>
        <v>0</v>
      </c>
      <c r="BH36" s="168">
        <f t="shared" si="40"/>
        <v>0</v>
      </c>
      <c r="BI36" s="163">
        <f t="shared" si="41"/>
        <v>1</v>
      </c>
      <c r="BJ36" s="163">
        <f t="shared" si="42"/>
        <v>0</v>
      </c>
      <c r="BK36" s="163">
        <f t="shared" si="27"/>
        <v>1</v>
      </c>
      <c r="BL36" s="163">
        <f t="shared" si="28"/>
        <v>0</v>
      </c>
      <c r="BM36" s="163">
        <f t="shared" si="29"/>
        <v>2</v>
      </c>
      <c r="BN36" s="163" t="s">
        <v>148</v>
      </c>
      <c r="BO36" s="162" t="s">
        <v>269</v>
      </c>
      <c r="BP36" s="162" t="s">
        <v>279</v>
      </c>
      <c r="BQ36" s="162" t="s">
        <v>1425</v>
      </c>
    </row>
    <row r="37" spans="1:69">
      <c r="A37" s="159">
        <f t="shared" si="17"/>
        <v>13</v>
      </c>
      <c r="B37" s="159">
        <f t="shared" si="18"/>
        <v>1</v>
      </c>
      <c r="C37" s="160" t="str">
        <f t="shared" si="0"/>
        <v>1301</v>
      </c>
      <c r="D37" s="159" t="s">
        <v>270</v>
      </c>
      <c r="E37" s="161">
        <v>2013</v>
      </c>
      <c r="F37" s="162" t="s">
        <v>271</v>
      </c>
      <c r="G37" s="162" t="s">
        <v>252</v>
      </c>
      <c r="H37" s="163" t="str">
        <f t="shared" si="43"/>
        <v>UM</v>
      </c>
      <c r="I37" s="163" t="s">
        <v>148</v>
      </c>
      <c r="J37" s="162" t="s">
        <v>182</v>
      </c>
      <c r="K37" s="163" t="s">
        <v>183</v>
      </c>
      <c r="L37" s="163" t="s">
        <v>151</v>
      </c>
      <c r="M37" s="163" t="str">
        <f t="shared" si="19"/>
        <v>PCV10 vs NoVax</v>
      </c>
      <c r="N37" s="159" t="s">
        <v>152</v>
      </c>
      <c r="O37" s="159">
        <v>3</v>
      </c>
      <c r="P37" s="162" t="s">
        <v>157</v>
      </c>
      <c r="Q37" s="162" t="s">
        <v>153</v>
      </c>
      <c r="R37" s="162" t="s">
        <v>253</v>
      </c>
      <c r="S37" s="162" t="s">
        <v>252</v>
      </c>
      <c r="T37" s="161">
        <v>2010</v>
      </c>
      <c r="U37" s="165">
        <v>1440</v>
      </c>
      <c r="V37" s="165">
        <f>IF(ISNUMBER(U37),U37/VLOOKUP($S37,xRates!$A$1:$AA$267,data!$T37-xRates!$B$1+2,FALSE),U37)</f>
        <v>45.446361379682102</v>
      </c>
      <c r="W37" s="162" t="s">
        <v>272</v>
      </c>
      <c r="Y37" s="165"/>
      <c r="AA37" s="163" t="s">
        <v>148</v>
      </c>
      <c r="AB37" s="162" t="s">
        <v>217</v>
      </c>
      <c r="AC37" s="162" t="s">
        <v>148</v>
      </c>
      <c r="AD37" s="163" t="s">
        <v>148</v>
      </c>
      <c r="AE37" s="162" t="s">
        <v>273</v>
      </c>
      <c r="AF37" s="163" t="s">
        <v>148</v>
      </c>
      <c r="AG37" s="163" t="s">
        <v>148</v>
      </c>
      <c r="AH37" s="163" t="s">
        <v>148</v>
      </c>
      <c r="AJ37" s="162"/>
      <c r="AK37" s="162" t="s">
        <v>274</v>
      </c>
      <c r="AL37" s="163" t="s">
        <v>159</v>
      </c>
      <c r="AM37" s="166">
        <v>519399</v>
      </c>
      <c r="AN37" s="166">
        <f>AM37/xRates!$P$194</f>
        <v>16392.218509892711</v>
      </c>
      <c r="AO37" s="166">
        <f t="shared" si="44"/>
        <v>5076.3398719999996</v>
      </c>
      <c r="AP37" s="163" t="str">
        <f t="shared" si="32"/>
        <v>Not Cost-Effective</v>
      </c>
      <c r="AQ37" s="163" t="str">
        <f t="shared" si="20"/>
        <v>Not Cost-Effective</v>
      </c>
      <c r="AR37" s="167">
        <f t="shared" si="5"/>
        <v>3.2291412559487336</v>
      </c>
      <c r="AS37" s="167">
        <f t="shared" si="33"/>
        <v>1.1200000000000001</v>
      </c>
      <c r="AT37" s="159" t="str">
        <f t="shared" si="21"/>
        <v>Not Cost-Effective</v>
      </c>
      <c r="AU37" s="167">
        <f t="shared" si="34"/>
        <v>0.7</v>
      </c>
      <c r="AV37" s="162" t="str">
        <f t="shared" si="22"/>
        <v>Not Cost-Effective</v>
      </c>
      <c r="AW37" s="167">
        <f t="shared" si="35"/>
        <v>0.63924009905265922</v>
      </c>
      <c r="AX37" s="159" t="str">
        <f t="shared" si="23"/>
        <v>Not Cost-Effective</v>
      </c>
      <c r="AY37" s="167">
        <f t="shared" si="36"/>
        <v>0.19146400126329965</v>
      </c>
      <c r="AZ37" s="159" t="str">
        <f t="shared" si="24"/>
        <v>Not Cost-Effective</v>
      </c>
      <c r="BA37" s="167">
        <f t="shared" si="37"/>
        <v>0.65485399346386453</v>
      </c>
      <c r="BB37" s="159" t="str">
        <f t="shared" si="25"/>
        <v>Not Cost-Effective</v>
      </c>
      <c r="BC37" s="167">
        <f t="shared" si="38"/>
        <v>0.27145930340502455</v>
      </c>
      <c r="BD37" s="159" t="str">
        <f t="shared" si="26"/>
        <v>Not Cost-Effective</v>
      </c>
      <c r="BE37" s="162" t="s">
        <v>275</v>
      </c>
      <c r="BF37" s="162" t="s">
        <v>161</v>
      </c>
      <c r="BG37" s="168" t="str">
        <f t="shared" si="39"/>
        <v>.</v>
      </c>
      <c r="BH37" s="168" t="str">
        <f t="shared" si="40"/>
        <v>.</v>
      </c>
      <c r="BI37" s="163" t="str">
        <f t="shared" si="41"/>
        <v>.</v>
      </c>
      <c r="BJ37" s="163" t="str">
        <f t="shared" si="42"/>
        <v>.</v>
      </c>
      <c r="BK37" s="163" t="str">
        <f t="shared" si="27"/>
        <v>.</v>
      </c>
      <c r="BL37" s="163" t="str">
        <f t="shared" si="28"/>
        <v>.</v>
      </c>
      <c r="BM37" s="163">
        <f t="shared" si="29"/>
        <v>0</v>
      </c>
      <c r="BN37" s="163" t="s">
        <v>157</v>
      </c>
      <c r="BO37" s="162" t="str">
        <f t="shared" ref="BO37:BO44" si="45">IF(BN37="No", "", "")</f>
        <v/>
      </c>
      <c r="BP37" s="162" t="s">
        <v>1405</v>
      </c>
      <c r="BQ37" s="162" t="s">
        <v>1426</v>
      </c>
    </row>
    <row r="38" spans="1:69">
      <c r="A38" s="159">
        <f t="shared" si="17"/>
        <v>13</v>
      </c>
      <c r="B38" s="159">
        <f t="shared" si="18"/>
        <v>2</v>
      </c>
      <c r="C38" s="160" t="str">
        <f t="shared" si="0"/>
        <v>1302</v>
      </c>
      <c r="D38" s="159" t="s">
        <v>270</v>
      </c>
      <c r="E38" s="161">
        <v>2013</v>
      </c>
      <c r="F38" s="162" t="s">
        <v>271</v>
      </c>
      <c r="G38" s="162" t="s">
        <v>252</v>
      </c>
      <c r="H38" s="163" t="str">
        <f t="shared" si="43"/>
        <v>UM</v>
      </c>
      <c r="I38" s="163" t="s">
        <v>148</v>
      </c>
      <c r="J38" s="162" t="s">
        <v>182</v>
      </c>
      <c r="K38" s="163" t="s">
        <v>183</v>
      </c>
      <c r="L38" s="163" t="s">
        <v>151</v>
      </c>
      <c r="M38" s="163" t="str">
        <f t="shared" si="19"/>
        <v>PCV10 vs NoVax</v>
      </c>
      <c r="N38" s="159" t="s">
        <v>198</v>
      </c>
      <c r="O38" s="159">
        <v>4</v>
      </c>
      <c r="P38" s="162" t="s">
        <v>157</v>
      </c>
      <c r="Q38" s="162" t="s">
        <v>153</v>
      </c>
      <c r="R38" s="162" t="s">
        <v>253</v>
      </c>
      <c r="S38" s="162" t="s">
        <v>252</v>
      </c>
      <c r="T38" s="161">
        <v>2010</v>
      </c>
      <c r="U38" s="165">
        <v>1440</v>
      </c>
      <c r="V38" s="165">
        <f>IF(ISNUMBER(U38),U38/VLOOKUP($S38,xRates!$A$1:$AA$267,data!$T38-xRates!$B$1+2,FALSE),U38)</f>
        <v>45.446361379682102</v>
      </c>
      <c r="W38" s="162" t="s">
        <v>272</v>
      </c>
      <c r="Y38" s="165"/>
      <c r="AA38" s="163" t="s">
        <v>148</v>
      </c>
      <c r="AB38" s="162" t="s">
        <v>217</v>
      </c>
      <c r="AC38" s="162" t="s">
        <v>148</v>
      </c>
      <c r="AD38" s="163" t="s">
        <v>148</v>
      </c>
      <c r="AE38" s="162" t="s">
        <v>273</v>
      </c>
      <c r="AF38" s="163" t="s">
        <v>148</v>
      </c>
      <c r="AG38" s="163" t="s">
        <v>148</v>
      </c>
      <c r="AH38" s="163" t="s">
        <v>148</v>
      </c>
      <c r="AJ38" s="162"/>
      <c r="AK38" s="162" t="s">
        <v>276</v>
      </c>
      <c r="AL38" s="163" t="s">
        <v>159</v>
      </c>
      <c r="AM38" s="166">
        <v>650087</v>
      </c>
      <c r="AN38" s="166">
        <f>AM38/xRates!$P$194</f>
        <v>20516.728284884306</v>
      </c>
      <c r="AO38" s="166">
        <f t="shared" si="44"/>
        <v>5076.3398719999996</v>
      </c>
      <c r="AP38" s="163" t="str">
        <f t="shared" si="32"/>
        <v>Not Cost-Effective</v>
      </c>
      <c r="AQ38" s="163" t="str">
        <f t="shared" si="20"/>
        <v>Not Cost-Effective</v>
      </c>
      <c r="AR38" s="167">
        <f t="shared" si="5"/>
        <v>4.0416380309857054</v>
      </c>
      <c r="AS38" s="167">
        <f t="shared" si="33"/>
        <v>1.1200000000000001</v>
      </c>
      <c r="AT38" s="159" t="str">
        <f t="shared" si="21"/>
        <v>Not Cost-Effective</v>
      </c>
      <c r="AU38" s="167">
        <f t="shared" si="34"/>
        <v>0.7</v>
      </c>
      <c r="AV38" s="162" t="str">
        <f t="shared" si="22"/>
        <v>Not Cost-Effective</v>
      </c>
      <c r="AW38" s="167">
        <f t="shared" si="35"/>
        <v>0.63924009905265922</v>
      </c>
      <c r="AX38" s="159" t="str">
        <f t="shared" si="23"/>
        <v>Not Cost-Effective</v>
      </c>
      <c r="AY38" s="167">
        <f t="shared" si="36"/>
        <v>0.19146400126329965</v>
      </c>
      <c r="AZ38" s="159" t="str">
        <f t="shared" si="24"/>
        <v>Not Cost-Effective</v>
      </c>
      <c r="BA38" s="167">
        <f t="shared" si="37"/>
        <v>0.65485399346386453</v>
      </c>
      <c r="BB38" s="159" t="str">
        <f t="shared" si="25"/>
        <v>Not Cost-Effective</v>
      </c>
      <c r="BC38" s="167">
        <f t="shared" si="38"/>
        <v>0.27145930340502455</v>
      </c>
      <c r="BD38" s="159" t="str">
        <f t="shared" si="26"/>
        <v>Not Cost-Effective</v>
      </c>
      <c r="BE38" s="162" t="s">
        <v>275</v>
      </c>
      <c r="BF38" s="162" t="s">
        <v>161</v>
      </c>
      <c r="BG38" s="168" t="str">
        <f t="shared" si="39"/>
        <v>.</v>
      </c>
      <c r="BH38" s="168" t="str">
        <f t="shared" si="40"/>
        <v>.</v>
      </c>
      <c r="BI38" s="163" t="str">
        <f t="shared" si="41"/>
        <v>.</v>
      </c>
      <c r="BJ38" s="163" t="str">
        <f t="shared" si="42"/>
        <v>.</v>
      </c>
      <c r="BK38" s="163" t="str">
        <f t="shared" si="27"/>
        <v>.</v>
      </c>
      <c r="BL38" s="163" t="str">
        <f t="shared" si="28"/>
        <v>.</v>
      </c>
      <c r="BM38" s="163">
        <f t="shared" si="29"/>
        <v>0</v>
      </c>
      <c r="BN38" s="163" t="s">
        <v>157</v>
      </c>
      <c r="BO38" s="162" t="str">
        <f t="shared" si="45"/>
        <v/>
      </c>
      <c r="BP38" s="162" t="s">
        <v>1405</v>
      </c>
      <c r="BQ38" s="162" t="s">
        <v>1426</v>
      </c>
    </row>
    <row r="39" spans="1:69">
      <c r="A39" s="159">
        <f t="shared" si="17"/>
        <v>13</v>
      </c>
      <c r="B39" s="159">
        <f t="shared" si="18"/>
        <v>3</v>
      </c>
      <c r="C39" s="160" t="str">
        <f t="shared" si="0"/>
        <v>1303</v>
      </c>
      <c r="D39" s="159" t="s">
        <v>270</v>
      </c>
      <c r="E39" s="161">
        <v>2013</v>
      </c>
      <c r="F39" s="162" t="s">
        <v>271</v>
      </c>
      <c r="G39" s="162" t="s">
        <v>252</v>
      </c>
      <c r="H39" s="163" t="str">
        <f t="shared" si="43"/>
        <v>UM</v>
      </c>
      <c r="I39" s="163" t="s">
        <v>148</v>
      </c>
      <c r="J39" s="162" t="s">
        <v>182</v>
      </c>
      <c r="K39" s="163" t="s">
        <v>183</v>
      </c>
      <c r="L39" s="163" t="s">
        <v>151</v>
      </c>
      <c r="M39" s="163" t="str">
        <f t="shared" si="19"/>
        <v>PCV10 vs NoVax</v>
      </c>
      <c r="N39" s="159" t="s">
        <v>152</v>
      </c>
      <c r="O39" s="159">
        <v>3</v>
      </c>
      <c r="P39" s="162" t="s">
        <v>148</v>
      </c>
      <c r="Q39" s="162" t="s">
        <v>153</v>
      </c>
      <c r="R39" s="162" t="s">
        <v>253</v>
      </c>
      <c r="S39" s="162" t="s">
        <v>252</v>
      </c>
      <c r="T39" s="161">
        <v>2010</v>
      </c>
      <c r="U39" s="165">
        <v>1440</v>
      </c>
      <c r="V39" s="165">
        <f>IF(ISNUMBER(U39),U39/VLOOKUP($S39,xRates!$A$1:$AA$267,data!$T39-xRates!$B$1+2,FALSE),U39)</f>
        <v>45.446361379682102</v>
      </c>
      <c r="W39" s="162" t="s">
        <v>272</v>
      </c>
      <c r="Y39" s="165"/>
      <c r="AA39" s="163" t="s">
        <v>157</v>
      </c>
      <c r="AB39" s="162"/>
      <c r="AD39" s="163" t="s">
        <v>157</v>
      </c>
      <c r="AE39" s="162" t="str">
        <f>IF(AD39="No", "", "")</f>
        <v/>
      </c>
      <c r="AF39" s="163" t="s">
        <v>148</v>
      </c>
      <c r="AG39" s="163" t="s">
        <v>148</v>
      </c>
      <c r="AH39" s="163" t="s">
        <v>148</v>
      </c>
      <c r="AJ39" s="162"/>
      <c r="AK39" s="162" t="s">
        <v>277</v>
      </c>
      <c r="AL39" s="163" t="s">
        <v>159</v>
      </c>
      <c r="AM39" s="166">
        <v>1368072</v>
      </c>
      <c r="AN39" s="166">
        <f>AM39/xRates!$P$194</f>
        <v>43176.315628766977</v>
      </c>
      <c r="AO39" s="166">
        <f t="shared" si="44"/>
        <v>5076.3398719999996</v>
      </c>
      <c r="AP39" s="163" t="str">
        <f t="shared" si="32"/>
        <v>Not Cost-Effective</v>
      </c>
      <c r="AQ39" s="163" t="str">
        <f t="shared" si="20"/>
        <v>Not Cost-Effective</v>
      </c>
      <c r="AR39" s="167">
        <f t="shared" si="5"/>
        <v>8.5054028527361343</v>
      </c>
      <c r="AS39" s="167">
        <f t="shared" si="33"/>
        <v>1.1200000000000001</v>
      </c>
      <c r="AT39" s="159" t="str">
        <f t="shared" si="21"/>
        <v>Not Cost-Effective</v>
      </c>
      <c r="AU39" s="167">
        <f t="shared" si="34"/>
        <v>0.7</v>
      </c>
      <c r="AV39" s="162" t="str">
        <f t="shared" si="22"/>
        <v>Not Cost-Effective</v>
      </c>
      <c r="AW39" s="167">
        <f t="shared" si="35"/>
        <v>0.63924009905265922</v>
      </c>
      <c r="AX39" s="159" t="str">
        <f t="shared" si="23"/>
        <v>Not Cost-Effective</v>
      </c>
      <c r="AY39" s="167">
        <f t="shared" si="36"/>
        <v>0.19146400126329965</v>
      </c>
      <c r="AZ39" s="159" t="str">
        <f t="shared" si="24"/>
        <v>Not Cost-Effective</v>
      </c>
      <c r="BA39" s="167">
        <f t="shared" si="37"/>
        <v>0.65485399346386453</v>
      </c>
      <c r="BB39" s="159" t="str">
        <f t="shared" si="25"/>
        <v>Not Cost-Effective</v>
      </c>
      <c r="BC39" s="167">
        <f t="shared" si="38"/>
        <v>0.27145930340502455</v>
      </c>
      <c r="BD39" s="159" t="str">
        <f t="shared" si="26"/>
        <v>Not Cost-Effective</v>
      </c>
      <c r="BE39" s="162" t="s">
        <v>275</v>
      </c>
      <c r="BF39" s="162" t="s">
        <v>161</v>
      </c>
      <c r="BG39" s="168" t="str">
        <f t="shared" si="39"/>
        <v>.</v>
      </c>
      <c r="BH39" s="168" t="str">
        <f t="shared" si="40"/>
        <v>.</v>
      </c>
      <c r="BI39" s="163" t="str">
        <f t="shared" si="41"/>
        <v>.</v>
      </c>
      <c r="BJ39" s="163" t="str">
        <f t="shared" si="42"/>
        <v>.</v>
      </c>
      <c r="BK39" s="163" t="str">
        <f t="shared" si="27"/>
        <v>.</v>
      </c>
      <c r="BL39" s="163" t="str">
        <f t="shared" si="28"/>
        <v>.</v>
      </c>
      <c r="BM39" s="163">
        <f t="shared" si="29"/>
        <v>0</v>
      </c>
      <c r="BN39" s="163" t="s">
        <v>157</v>
      </c>
      <c r="BO39" s="162" t="str">
        <f t="shared" si="45"/>
        <v/>
      </c>
      <c r="BP39" s="162" t="s">
        <v>1405</v>
      </c>
      <c r="BQ39" s="162" t="s">
        <v>1426</v>
      </c>
    </row>
    <row r="40" spans="1:69">
      <c r="A40" s="159">
        <f t="shared" si="17"/>
        <v>13</v>
      </c>
      <c r="B40" s="159">
        <f t="shared" si="18"/>
        <v>4</v>
      </c>
      <c r="C40" s="160" t="str">
        <f t="shared" si="0"/>
        <v>1304</v>
      </c>
      <c r="D40" s="159" t="s">
        <v>270</v>
      </c>
      <c r="E40" s="161">
        <v>2013</v>
      </c>
      <c r="F40" s="162" t="s">
        <v>271</v>
      </c>
      <c r="G40" s="162" t="s">
        <v>252</v>
      </c>
      <c r="H40" s="163" t="str">
        <f t="shared" si="43"/>
        <v>UM</v>
      </c>
      <c r="I40" s="163" t="s">
        <v>148</v>
      </c>
      <c r="J40" s="162" t="s">
        <v>182</v>
      </c>
      <c r="K40" s="163" t="s">
        <v>183</v>
      </c>
      <c r="L40" s="163" t="s">
        <v>151</v>
      </c>
      <c r="M40" s="163" t="str">
        <f t="shared" si="19"/>
        <v>PCV10 vs NoVax</v>
      </c>
      <c r="N40" s="159" t="s">
        <v>198</v>
      </c>
      <c r="O40" s="159">
        <v>4</v>
      </c>
      <c r="P40" s="162" t="s">
        <v>157</v>
      </c>
      <c r="Q40" s="162" t="s">
        <v>153</v>
      </c>
      <c r="R40" s="162" t="s">
        <v>253</v>
      </c>
      <c r="S40" s="162" t="s">
        <v>252</v>
      </c>
      <c r="T40" s="161">
        <v>2010</v>
      </c>
      <c r="U40" s="165">
        <v>1440</v>
      </c>
      <c r="V40" s="165">
        <f>IF(ISNUMBER(U40),U40/VLOOKUP($S40,xRates!$A$1:$AA$267,data!$T40-xRates!$B$1+2,FALSE),U40)</f>
        <v>45.446361379682102</v>
      </c>
      <c r="W40" s="162" t="s">
        <v>272</v>
      </c>
      <c r="Y40" s="165"/>
      <c r="AA40" s="163" t="s">
        <v>157</v>
      </c>
      <c r="AB40" s="162"/>
      <c r="AD40" s="163" t="s">
        <v>157</v>
      </c>
      <c r="AE40" s="162" t="str">
        <f>IF(AD40="No", "", "")</f>
        <v/>
      </c>
      <c r="AF40" s="163" t="s">
        <v>148</v>
      </c>
      <c r="AG40" s="163" t="s">
        <v>148</v>
      </c>
      <c r="AH40" s="163" t="s">
        <v>148</v>
      </c>
      <c r="AJ40" s="162"/>
      <c r="AK40" s="162" t="s">
        <v>278</v>
      </c>
      <c r="AL40" s="163" t="s">
        <v>159</v>
      </c>
      <c r="AM40" s="166">
        <v>1677379</v>
      </c>
      <c r="AN40" s="166">
        <f>AM40/xRates!$P$194</f>
        <v>52938.036253256796</v>
      </c>
      <c r="AO40" s="166">
        <f t="shared" si="44"/>
        <v>5076.3398719999996</v>
      </c>
      <c r="AP40" s="163" t="str">
        <f t="shared" si="32"/>
        <v>Not Cost-Effective</v>
      </c>
      <c r="AQ40" s="163" t="str">
        <f t="shared" si="20"/>
        <v>Not Cost-Effective</v>
      </c>
      <c r="AR40" s="167">
        <f t="shared" si="5"/>
        <v>10.428386906332186</v>
      </c>
      <c r="AS40" s="167">
        <f t="shared" si="33"/>
        <v>1.1200000000000001</v>
      </c>
      <c r="AT40" s="159" t="str">
        <f t="shared" si="21"/>
        <v>Not Cost-Effective</v>
      </c>
      <c r="AU40" s="167">
        <f t="shared" si="34"/>
        <v>0.7</v>
      </c>
      <c r="AV40" s="162" t="str">
        <f t="shared" si="22"/>
        <v>Not Cost-Effective</v>
      </c>
      <c r="AW40" s="167">
        <f t="shared" si="35"/>
        <v>0.63924009905265922</v>
      </c>
      <c r="AX40" s="159" t="str">
        <f t="shared" si="23"/>
        <v>Not Cost-Effective</v>
      </c>
      <c r="AY40" s="167">
        <f t="shared" si="36"/>
        <v>0.19146400126329965</v>
      </c>
      <c r="AZ40" s="159" t="str">
        <f t="shared" si="24"/>
        <v>Not Cost-Effective</v>
      </c>
      <c r="BA40" s="167">
        <f t="shared" si="37"/>
        <v>0.65485399346386453</v>
      </c>
      <c r="BB40" s="159" t="str">
        <f t="shared" si="25"/>
        <v>Not Cost-Effective</v>
      </c>
      <c r="BC40" s="167">
        <f t="shared" si="38"/>
        <v>0.27145930340502455</v>
      </c>
      <c r="BD40" s="159" t="str">
        <f t="shared" si="26"/>
        <v>Not Cost-Effective</v>
      </c>
      <c r="BE40" s="162" t="s">
        <v>275</v>
      </c>
      <c r="BF40" s="162" t="s">
        <v>161</v>
      </c>
      <c r="BG40" s="168" t="str">
        <f t="shared" si="39"/>
        <v>.</v>
      </c>
      <c r="BH40" s="168" t="str">
        <f t="shared" si="40"/>
        <v>.</v>
      </c>
      <c r="BI40" s="163" t="str">
        <f t="shared" si="41"/>
        <v>.</v>
      </c>
      <c r="BJ40" s="163" t="str">
        <f t="shared" si="42"/>
        <v>.</v>
      </c>
      <c r="BK40" s="163" t="str">
        <f t="shared" si="27"/>
        <v>.</v>
      </c>
      <c r="BL40" s="163" t="str">
        <f t="shared" si="28"/>
        <v>.</v>
      </c>
      <c r="BM40" s="163">
        <f t="shared" si="29"/>
        <v>0</v>
      </c>
      <c r="BN40" s="163" t="s">
        <v>157</v>
      </c>
      <c r="BO40" s="162" t="str">
        <f t="shared" si="45"/>
        <v/>
      </c>
      <c r="BP40" s="162" t="s">
        <v>1405</v>
      </c>
      <c r="BQ40" s="162" t="s">
        <v>1426</v>
      </c>
    </row>
    <row r="41" spans="1:69">
      <c r="A41" s="159">
        <f t="shared" si="17"/>
        <v>13</v>
      </c>
      <c r="B41" s="159">
        <f t="shared" si="18"/>
        <v>5</v>
      </c>
      <c r="C41" s="160" t="str">
        <f t="shared" si="0"/>
        <v>1305</v>
      </c>
      <c r="D41" s="159" t="s">
        <v>270</v>
      </c>
      <c r="E41" s="161">
        <v>2013</v>
      </c>
      <c r="F41" s="162" t="s">
        <v>271</v>
      </c>
      <c r="G41" s="162" t="s">
        <v>252</v>
      </c>
      <c r="H41" s="163" t="str">
        <f t="shared" si="43"/>
        <v>UM</v>
      </c>
      <c r="I41" s="163" t="s">
        <v>148</v>
      </c>
      <c r="J41" s="162" t="s">
        <v>185</v>
      </c>
      <c r="K41" s="163" t="s">
        <v>186</v>
      </c>
      <c r="L41" s="163" t="s">
        <v>151</v>
      </c>
      <c r="M41" s="163" t="str">
        <f t="shared" si="19"/>
        <v>PCV13 vs NoVax</v>
      </c>
      <c r="N41" s="159" t="s">
        <v>152</v>
      </c>
      <c r="O41" s="159">
        <v>3</v>
      </c>
      <c r="P41" s="162" t="s">
        <v>157</v>
      </c>
      <c r="Q41" s="162" t="s">
        <v>153</v>
      </c>
      <c r="R41" s="162" t="s">
        <v>253</v>
      </c>
      <c r="S41" s="162" t="s">
        <v>252</v>
      </c>
      <c r="T41" s="161">
        <v>2010</v>
      </c>
      <c r="U41" s="165">
        <v>1930</v>
      </c>
      <c r="V41" s="165">
        <f>IF(ISNUMBER(U41),U41/VLOOKUP($S41,xRates!$A$1:$AA$267,data!$T41-xRates!$B$1+2,FALSE),U41)</f>
        <v>60.910748238046153</v>
      </c>
      <c r="W41" s="162" t="s">
        <v>279</v>
      </c>
      <c r="Y41" s="165"/>
      <c r="AA41" s="163" t="s">
        <v>148</v>
      </c>
      <c r="AB41" s="162" t="s">
        <v>217</v>
      </c>
      <c r="AC41" s="162" t="s">
        <v>148</v>
      </c>
      <c r="AD41" s="163" t="s">
        <v>148</v>
      </c>
      <c r="AE41" s="162" t="s">
        <v>273</v>
      </c>
      <c r="AF41" s="163" t="s">
        <v>148</v>
      </c>
      <c r="AG41" s="163" t="s">
        <v>148</v>
      </c>
      <c r="AH41" s="163" t="s">
        <v>148</v>
      </c>
      <c r="AJ41" s="162"/>
      <c r="AK41" s="162" t="s">
        <v>280</v>
      </c>
      <c r="AL41" s="163" t="s">
        <v>159</v>
      </c>
      <c r="AM41" s="166">
        <v>527378</v>
      </c>
      <c r="AN41" s="166">
        <f>AM41/xRates!$P$194</f>
        <v>16644.035535898602</v>
      </c>
      <c r="AO41" s="166">
        <f t="shared" si="44"/>
        <v>5076.3398719999996</v>
      </c>
      <c r="AP41" s="163" t="str">
        <f t="shared" si="32"/>
        <v>Not Cost-Effective</v>
      </c>
      <c r="AQ41" s="163" t="str">
        <f t="shared" si="20"/>
        <v>Not Cost-Effective</v>
      </c>
      <c r="AR41" s="167">
        <f t="shared" si="5"/>
        <v>3.2787472776800324</v>
      </c>
      <c r="AS41" s="167">
        <f t="shared" si="33"/>
        <v>1.1200000000000001</v>
      </c>
      <c r="AT41" s="159" t="str">
        <f t="shared" si="21"/>
        <v>Not Cost-Effective</v>
      </c>
      <c r="AU41" s="167">
        <f t="shared" si="34"/>
        <v>0.7</v>
      </c>
      <c r="AV41" s="162" t="str">
        <f t="shared" si="22"/>
        <v>Not Cost-Effective</v>
      </c>
      <c r="AW41" s="167">
        <f t="shared" si="35"/>
        <v>0.63924009905265922</v>
      </c>
      <c r="AX41" s="159" t="str">
        <f t="shared" si="23"/>
        <v>Not Cost-Effective</v>
      </c>
      <c r="AY41" s="167">
        <f t="shared" si="36"/>
        <v>0.19146400126329965</v>
      </c>
      <c r="AZ41" s="159" t="str">
        <f t="shared" si="24"/>
        <v>Not Cost-Effective</v>
      </c>
      <c r="BA41" s="167">
        <f t="shared" si="37"/>
        <v>0.65485399346386453</v>
      </c>
      <c r="BB41" s="159" t="str">
        <f t="shared" si="25"/>
        <v>Not Cost-Effective</v>
      </c>
      <c r="BC41" s="167">
        <f t="shared" si="38"/>
        <v>0.27145930340502455</v>
      </c>
      <c r="BD41" s="159" t="str">
        <f t="shared" si="26"/>
        <v>Not Cost-Effective</v>
      </c>
      <c r="BE41" s="162" t="s">
        <v>275</v>
      </c>
      <c r="BF41" s="162" t="s">
        <v>161</v>
      </c>
      <c r="BG41" s="168" t="str">
        <f t="shared" si="39"/>
        <v>.</v>
      </c>
      <c r="BH41" s="168" t="str">
        <f t="shared" si="40"/>
        <v>.</v>
      </c>
      <c r="BI41" s="163" t="str">
        <f t="shared" si="41"/>
        <v>.</v>
      </c>
      <c r="BJ41" s="163" t="str">
        <f t="shared" si="42"/>
        <v>.</v>
      </c>
      <c r="BK41" s="163" t="str">
        <f t="shared" si="27"/>
        <v>.</v>
      </c>
      <c r="BL41" s="163" t="str">
        <f t="shared" si="28"/>
        <v>.</v>
      </c>
      <c r="BM41" s="163">
        <f t="shared" si="29"/>
        <v>0</v>
      </c>
      <c r="BN41" s="163" t="s">
        <v>157</v>
      </c>
      <c r="BO41" s="162" t="str">
        <f t="shared" si="45"/>
        <v/>
      </c>
      <c r="BP41" s="162" t="s">
        <v>1405</v>
      </c>
      <c r="BQ41" s="162" t="s">
        <v>1426</v>
      </c>
    </row>
    <row r="42" spans="1:69">
      <c r="A42" s="159">
        <f t="shared" si="17"/>
        <v>13</v>
      </c>
      <c r="B42" s="159">
        <f t="shared" si="18"/>
        <v>6</v>
      </c>
      <c r="C42" s="160" t="str">
        <f t="shared" si="0"/>
        <v>1306</v>
      </c>
      <c r="D42" s="159" t="s">
        <v>270</v>
      </c>
      <c r="E42" s="161">
        <v>2013</v>
      </c>
      <c r="F42" s="162" t="s">
        <v>271</v>
      </c>
      <c r="G42" s="162" t="s">
        <v>252</v>
      </c>
      <c r="H42" s="163" t="str">
        <f t="shared" si="43"/>
        <v>UM</v>
      </c>
      <c r="I42" s="163" t="s">
        <v>148</v>
      </c>
      <c r="J42" s="162" t="s">
        <v>185</v>
      </c>
      <c r="K42" s="163" t="s">
        <v>186</v>
      </c>
      <c r="L42" s="163" t="s">
        <v>151</v>
      </c>
      <c r="M42" s="163" t="str">
        <f t="shared" si="19"/>
        <v>PCV13 vs NoVax</v>
      </c>
      <c r="N42" s="159" t="s">
        <v>198</v>
      </c>
      <c r="O42" s="159">
        <v>4</v>
      </c>
      <c r="P42" s="162" t="s">
        <v>157</v>
      </c>
      <c r="Q42" s="162" t="s">
        <v>153</v>
      </c>
      <c r="R42" s="162" t="s">
        <v>253</v>
      </c>
      <c r="S42" s="162" t="s">
        <v>252</v>
      </c>
      <c r="T42" s="161">
        <v>2010</v>
      </c>
      <c r="U42" s="165">
        <v>1930</v>
      </c>
      <c r="V42" s="165">
        <f>IF(ISNUMBER(U42),U42/VLOOKUP($S42,xRates!$A$1:$AA$267,data!$T42-xRates!$B$1+2,FALSE),U42)</f>
        <v>60.910748238046153</v>
      </c>
      <c r="W42" s="162" t="s">
        <v>279</v>
      </c>
      <c r="Y42" s="165"/>
      <c r="AA42" s="163" t="s">
        <v>148</v>
      </c>
      <c r="AB42" s="162" t="s">
        <v>217</v>
      </c>
      <c r="AC42" s="162" t="s">
        <v>148</v>
      </c>
      <c r="AD42" s="163" t="s">
        <v>148</v>
      </c>
      <c r="AE42" s="162" t="s">
        <v>273</v>
      </c>
      <c r="AF42" s="163" t="s">
        <v>148</v>
      </c>
      <c r="AG42" s="163" t="s">
        <v>148</v>
      </c>
      <c r="AH42" s="163" t="s">
        <v>148</v>
      </c>
      <c r="AJ42" s="162"/>
      <c r="AK42" s="162" t="s">
        <v>281</v>
      </c>
      <c r="AL42" s="163" t="s">
        <v>159</v>
      </c>
      <c r="AM42" s="166">
        <v>660662</v>
      </c>
      <c r="AN42" s="166">
        <f>AM42/xRates!$P$194</f>
        <v>20850.475001266346</v>
      </c>
      <c r="AO42" s="166">
        <f t="shared" si="44"/>
        <v>5076.3398719999996</v>
      </c>
      <c r="AP42" s="163" t="str">
        <f t="shared" si="32"/>
        <v>Not Cost-Effective</v>
      </c>
      <c r="AQ42" s="163" t="str">
        <f>IF(AN42="NA", ".", IF(AN42&lt;0,"Cost-Saving",IF(AN42&lt;=AO42*3,"Cost-Effective",IF(AN42&gt;AO42*3&amp;AN42&lt;&gt;"NA","Not Cost-Effective","Missing"))))</f>
        <v>Not Cost-Effective</v>
      </c>
      <c r="AR42" s="167">
        <f t="shared" si="5"/>
        <v>4.1073835730095789</v>
      </c>
      <c r="AS42" s="167">
        <f t="shared" si="33"/>
        <v>1.1200000000000001</v>
      </c>
      <c r="AT42" s="159" t="str">
        <f t="shared" si="21"/>
        <v>Not Cost-Effective</v>
      </c>
      <c r="AU42" s="167">
        <f t="shared" si="34"/>
        <v>0.7</v>
      </c>
      <c r="AV42" s="162" t="str">
        <f t="shared" si="22"/>
        <v>Not Cost-Effective</v>
      </c>
      <c r="AW42" s="167">
        <f t="shared" si="35"/>
        <v>0.63924009905265922</v>
      </c>
      <c r="AX42" s="159" t="str">
        <f t="shared" si="23"/>
        <v>Not Cost-Effective</v>
      </c>
      <c r="AY42" s="167">
        <f t="shared" si="36"/>
        <v>0.19146400126329965</v>
      </c>
      <c r="AZ42" s="159" t="str">
        <f t="shared" si="24"/>
        <v>Not Cost-Effective</v>
      </c>
      <c r="BA42" s="167">
        <f t="shared" si="37"/>
        <v>0.65485399346386453</v>
      </c>
      <c r="BB42" s="159" t="str">
        <f t="shared" si="25"/>
        <v>Not Cost-Effective</v>
      </c>
      <c r="BC42" s="167">
        <f t="shared" si="38"/>
        <v>0.27145930340502455</v>
      </c>
      <c r="BD42" s="159" t="str">
        <f t="shared" si="26"/>
        <v>Not Cost-Effective</v>
      </c>
      <c r="BE42" s="162" t="s">
        <v>275</v>
      </c>
      <c r="BF42" s="162" t="s">
        <v>161</v>
      </c>
      <c r="BG42" s="168" t="str">
        <f t="shared" si="39"/>
        <v>.</v>
      </c>
      <c r="BH42" s="168" t="str">
        <f t="shared" si="40"/>
        <v>.</v>
      </c>
      <c r="BI42" s="163" t="str">
        <f t="shared" si="41"/>
        <v>.</v>
      </c>
      <c r="BJ42" s="163" t="str">
        <f t="shared" si="42"/>
        <v>.</v>
      </c>
      <c r="BK42" s="163" t="str">
        <f t="shared" si="27"/>
        <v>.</v>
      </c>
      <c r="BL42" s="163" t="str">
        <f t="shared" si="28"/>
        <v>.</v>
      </c>
      <c r="BM42" s="163">
        <f t="shared" si="29"/>
        <v>0</v>
      </c>
      <c r="BN42" s="163" t="s">
        <v>157</v>
      </c>
      <c r="BO42" s="162" t="str">
        <f t="shared" si="45"/>
        <v/>
      </c>
      <c r="BP42" s="162" t="s">
        <v>1405</v>
      </c>
      <c r="BQ42" s="162" t="s">
        <v>1426</v>
      </c>
    </row>
    <row r="43" spans="1:69">
      <c r="A43" s="159">
        <f t="shared" si="17"/>
        <v>13</v>
      </c>
      <c r="B43" s="159">
        <f t="shared" si="18"/>
        <v>7</v>
      </c>
      <c r="C43" s="160" t="str">
        <f t="shared" si="0"/>
        <v>1307</v>
      </c>
      <c r="D43" s="159" t="s">
        <v>270</v>
      </c>
      <c r="E43" s="161">
        <v>2013</v>
      </c>
      <c r="F43" s="162" t="s">
        <v>271</v>
      </c>
      <c r="G43" s="162" t="s">
        <v>252</v>
      </c>
      <c r="H43" s="163" t="str">
        <f t="shared" si="43"/>
        <v>UM</v>
      </c>
      <c r="I43" s="163" t="s">
        <v>148</v>
      </c>
      <c r="J43" s="162" t="s">
        <v>185</v>
      </c>
      <c r="K43" s="163" t="s">
        <v>186</v>
      </c>
      <c r="L43" s="163" t="s">
        <v>151</v>
      </c>
      <c r="M43" s="163" t="str">
        <f t="shared" si="19"/>
        <v>PCV13 vs NoVax</v>
      </c>
      <c r="N43" s="159" t="s">
        <v>152</v>
      </c>
      <c r="O43" s="159">
        <v>3</v>
      </c>
      <c r="P43" s="162" t="s">
        <v>148</v>
      </c>
      <c r="Q43" s="162" t="s">
        <v>153</v>
      </c>
      <c r="R43" s="162" t="s">
        <v>253</v>
      </c>
      <c r="S43" s="162" t="s">
        <v>252</v>
      </c>
      <c r="T43" s="161">
        <v>2010</v>
      </c>
      <c r="U43" s="165">
        <v>1930</v>
      </c>
      <c r="V43" s="165">
        <f>IF(ISNUMBER(U43),U43/VLOOKUP($S43,xRates!$A$1:$AA$267,data!$T43-xRates!$B$1+2,FALSE),U43)</f>
        <v>60.910748238046153</v>
      </c>
      <c r="W43" s="162" t="s">
        <v>279</v>
      </c>
      <c r="Y43" s="165"/>
      <c r="AA43" s="163" t="s">
        <v>157</v>
      </c>
      <c r="AB43" s="162"/>
      <c r="AD43" s="163" t="s">
        <v>157</v>
      </c>
      <c r="AE43" s="162" t="str">
        <f t="shared" ref="AE43:AE50" si="46">IF(AD43="No", "", "")</f>
        <v/>
      </c>
      <c r="AF43" s="163" t="s">
        <v>148</v>
      </c>
      <c r="AG43" s="163" t="s">
        <v>148</v>
      </c>
      <c r="AH43" s="163" t="s">
        <v>148</v>
      </c>
      <c r="AJ43" s="162"/>
      <c r="AK43" s="162" t="s">
        <v>282</v>
      </c>
      <c r="AL43" s="163" t="s">
        <v>159</v>
      </c>
      <c r="AM43" s="166">
        <v>1490305</v>
      </c>
      <c r="AN43" s="166">
        <f>AM43/xRates!$P$194</f>
        <v>47033.985830518846</v>
      </c>
      <c r="AO43" s="166">
        <f t="shared" si="44"/>
        <v>5076.3398719999996</v>
      </c>
      <c r="AP43" s="163" t="str">
        <f t="shared" si="32"/>
        <v>Not Cost-Effective</v>
      </c>
      <c r="AQ43" s="163" t="str">
        <f t="shared" si="20"/>
        <v>Not Cost-Effective</v>
      </c>
      <c r="AR43" s="167">
        <f t="shared" si="5"/>
        <v>9.2653342795166669</v>
      </c>
      <c r="AS43" s="167">
        <f t="shared" si="33"/>
        <v>1.1200000000000001</v>
      </c>
      <c r="AT43" s="159" t="str">
        <f t="shared" si="21"/>
        <v>Not Cost-Effective</v>
      </c>
      <c r="AU43" s="167">
        <f t="shared" si="34"/>
        <v>0.7</v>
      </c>
      <c r="AV43" s="162" t="str">
        <f t="shared" si="22"/>
        <v>Not Cost-Effective</v>
      </c>
      <c r="AW43" s="167">
        <f t="shared" si="35"/>
        <v>0.63924009905265922</v>
      </c>
      <c r="AX43" s="159" t="str">
        <f t="shared" si="23"/>
        <v>Not Cost-Effective</v>
      </c>
      <c r="AY43" s="167">
        <f t="shared" si="36"/>
        <v>0.19146400126329965</v>
      </c>
      <c r="AZ43" s="159" t="str">
        <f t="shared" si="24"/>
        <v>Not Cost-Effective</v>
      </c>
      <c r="BA43" s="167">
        <f t="shared" si="37"/>
        <v>0.65485399346386453</v>
      </c>
      <c r="BB43" s="159" t="str">
        <f t="shared" si="25"/>
        <v>Not Cost-Effective</v>
      </c>
      <c r="BC43" s="167">
        <f t="shared" si="38"/>
        <v>0.27145930340502455</v>
      </c>
      <c r="BD43" s="159" t="str">
        <f t="shared" si="26"/>
        <v>Not Cost-Effective</v>
      </c>
      <c r="BE43" s="162" t="s">
        <v>275</v>
      </c>
      <c r="BF43" s="162" t="s">
        <v>161</v>
      </c>
      <c r="BG43" s="168" t="str">
        <f t="shared" si="39"/>
        <v>.</v>
      </c>
      <c r="BH43" s="168" t="str">
        <f t="shared" si="40"/>
        <v>.</v>
      </c>
      <c r="BI43" s="163" t="str">
        <f t="shared" si="41"/>
        <v>.</v>
      </c>
      <c r="BJ43" s="163" t="str">
        <f t="shared" si="42"/>
        <v>.</v>
      </c>
      <c r="BK43" s="163" t="str">
        <f t="shared" si="27"/>
        <v>.</v>
      </c>
      <c r="BL43" s="163" t="str">
        <f t="shared" si="28"/>
        <v>.</v>
      </c>
      <c r="BM43" s="163">
        <f t="shared" si="29"/>
        <v>0</v>
      </c>
      <c r="BN43" s="163" t="s">
        <v>157</v>
      </c>
      <c r="BO43" s="162" t="str">
        <f t="shared" si="45"/>
        <v/>
      </c>
      <c r="BP43" s="162" t="s">
        <v>1405</v>
      </c>
      <c r="BQ43" s="162" t="s">
        <v>1426</v>
      </c>
    </row>
    <row r="44" spans="1:69">
      <c r="A44" s="159">
        <f t="shared" si="17"/>
        <v>13</v>
      </c>
      <c r="B44" s="159">
        <f t="shared" si="18"/>
        <v>8</v>
      </c>
      <c r="C44" s="160" t="str">
        <f t="shared" si="0"/>
        <v>1308</v>
      </c>
      <c r="D44" s="159" t="s">
        <v>270</v>
      </c>
      <c r="E44" s="161">
        <v>2013</v>
      </c>
      <c r="F44" s="162" t="s">
        <v>271</v>
      </c>
      <c r="G44" s="162" t="s">
        <v>252</v>
      </c>
      <c r="H44" s="163" t="str">
        <f t="shared" si="43"/>
        <v>UM</v>
      </c>
      <c r="I44" s="163" t="s">
        <v>148</v>
      </c>
      <c r="J44" s="162" t="s">
        <v>185</v>
      </c>
      <c r="K44" s="163" t="s">
        <v>186</v>
      </c>
      <c r="L44" s="163" t="s">
        <v>151</v>
      </c>
      <c r="M44" s="163" t="str">
        <f t="shared" si="19"/>
        <v>PCV13 vs NoVax</v>
      </c>
      <c r="N44" s="159" t="s">
        <v>198</v>
      </c>
      <c r="O44" s="159">
        <v>4</v>
      </c>
      <c r="P44" s="162" t="s">
        <v>157</v>
      </c>
      <c r="Q44" s="162" t="s">
        <v>153</v>
      </c>
      <c r="R44" s="162" t="s">
        <v>253</v>
      </c>
      <c r="S44" s="162" t="s">
        <v>252</v>
      </c>
      <c r="T44" s="161">
        <v>2010</v>
      </c>
      <c r="U44" s="165">
        <v>1930</v>
      </c>
      <c r="V44" s="165">
        <f>IF(ISNUMBER(U44),U44/VLOOKUP($S44,xRates!$A$1:$AA$267,data!$T44-xRates!$B$1+2,FALSE),U44)</f>
        <v>60.910748238046153</v>
      </c>
      <c r="W44" s="162" t="s">
        <v>279</v>
      </c>
      <c r="Y44" s="165"/>
      <c r="AA44" s="163" t="s">
        <v>157</v>
      </c>
      <c r="AB44" s="162"/>
      <c r="AD44" s="163" t="s">
        <v>157</v>
      </c>
      <c r="AE44" s="162" t="str">
        <f t="shared" si="46"/>
        <v/>
      </c>
      <c r="AF44" s="163" t="s">
        <v>148</v>
      </c>
      <c r="AG44" s="163" t="s">
        <v>148</v>
      </c>
      <c r="AH44" s="163" t="s">
        <v>148</v>
      </c>
      <c r="AJ44" s="162"/>
      <c r="AK44" s="162" t="s">
        <v>283</v>
      </c>
      <c r="AL44" s="163" t="s">
        <v>159</v>
      </c>
      <c r="AM44" s="166">
        <v>1830716</v>
      </c>
      <c r="AN44" s="166">
        <f>AM44/xRates!$P$194</f>
        <v>57777.347860809794</v>
      </c>
      <c r="AO44" s="166">
        <f t="shared" si="44"/>
        <v>5076.3398719999996</v>
      </c>
      <c r="AP44" s="163" t="str">
        <f t="shared" si="32"/>
        <v>Not Cost-Effective</v>
      </c>
      <c r="AQ44" s="163" t="str">
        <f t="shared" si="20"/>
        <v>Not Cost-Effective</v>
      </c>
      <c r="AR44" s="167">
        <f t="shared" si="5"/>
        <v>11.381694157142086</v>
      </c>
      <c r="AS44" s="167">
        <f t="shared" si="33"/>
        <v>1.1200000000000001</v>
      </c>
      <c r="AT44" s="159" t="str">
        <f t="shared" si="21"/>
        <v>Not Cost-Effective</v>
      </c>
      <c r="AU44" s="167">
        <f t="shared" si="34"/>
        <v>0.7</v>
      </c>
      <c r="AV44" s="162" t="str">
        <f t="shared" si="22"/>
        <v>Not Cost-Effective</v>
      </c>
      <c r="AW44" s="167">
        <f t="shared" si="35"/>
        <v>0.63924009905265922</v>
      </c>
      <c r="AX44" s="159" t="str">
        <f t="shared" si="23"/>
        <v>Not Cost-Effective</v>
      </c>
      <c r="AY44" s="167">
        <f t="shared" si="36"/>
        <v>0.19146400126329965</v>
      </c>
      <c r="AZ44" s="159" t="str">
        <f t="shared" si="24"/>
        <v>Not Cost-Effective</v>
      </c>
      <c r="BA44" s="167">
        <f t="shared" si="37"/>
        <v>0.65485399346386453</v>
      </c>
      <c r="BB44" s="159" t="str">
        <f t="shared" si="25"/>
        <v>Not Cost-Effective</v>
      </c>
      <c r="BC44" s="167">
        <f t="shared" si="38"/>
        <v>0.27145930340502455</v>
      </c>
      <c r="BD44" s="159" t="str">
        <f t="shared" si="26"/>
        <v>Not Cost-Effective</v>
      </c>
      <c r="BE44" s="162" t="s">
        <v>275</v>
      </c>
      <c r="BF44" s="162" t="s">
        <v>161</v>
      </c>
      <c r="BG44" s="168" t="str">
        <f t="shared" si="39"/>
        <v>.</v>
      </c>
      <c r="BH44" s="168" t="str">
        <f t="shared" si="40"/>
        <v>.</v>
      </c>
      <c r="BI44" s="163" t="str">
        <f t="shared" si="41"/>
        <v>.</v>
      </c>
      <c r="BJ44" s="163" t="str">
        <f t="shared" si="42"/>
        <v>.</v>
      </c>
      <c r="BK44" s="163" t="str">
        <f t="shared" si="27"/>
        <v>.</v>
      </c>
      <c r="BL44" s="163" t="str">
        <f t="shared" si="28"/>
        <v>.</v>
      </c>
      <c r="BM44" s="163">
        <f t="shared" si="29"/>
        <v>0</v>
      </c>
      <c r="BN44" s="163" t="s">
        <v>157</v>
      </c>
      <c r="BO44" s="162" t="str">
        <f t="shared" si="45"/>
        <v/>
      </c>
      <c r="BP44" s="162" t="s">
        <v>1405</v>
      </c>
      <c r="BQ44" s="162" t="s">
        <v>1426</v>
      </c>
    </row>
    <row r="45" spans="1:69">
      <c r="A45" s="159">
        <f t="shared" si="17"/>
        <v>14</v>
      </c>
      <c r="B45" s="159">
        <f t="shared" si="18"/>
        <v>1</v>
      </c>
      <c r="C45" s="160" t="str">
        <f t="shared" si="0"/>
        <v>1401</v>
      </c>
      <c r="D45" s="159" t="s">
        <v>24</v>
      </c>
      <c r="E45" s="161">
        <v>2015</v>
      </c>
      <c r="F45" s="162" t="s">
        <v>284</v>
      </c>
      <c r="G45" s="162" t="s">
        <v>285</v>
      </c>
      <c r="H45" s="163" t="str">
        <f t="shared" si="43"/>
        <v>LM</v>
      </c>
      <c r="I45" s="163" t="s">
        <v>148</v>
      </c>
      <c r="J45" s="162" t="s">
        <v>182</v>
      </c>
      <c r="K45" s="163" t="s">
        <v>183</v>
      </c>
      <c r="L45" s="163" t="s">
        <v>151</v>
      </c>
      <c r="M45" s="163" t="str">
        <f t="shared" si="19"/>
        <v>PCV10 vs NoVax</v>
      </c>
      <c r="N45" s="159" t="s">
        <v>152</v>
      </c>
      <c r="O45" s="159">
        <v>3</v>
      </c>
      <c r="P45" s="162" t="s">
        <v>148</v>
      </c>
      <c r="Q45" s="162" t="s">
        <v>167</v>
      </c>
      <c r="R45" s="162" t="s">
        <v>286</v>
      </c>
      <c r="S45" s="162" t="s">
        <v>285</v>
      </c>
      <c r="T45" s="161">
        <v>2013</v>
      </c>
      <c r="U45" s="165">
        <v>624</v>
      </c>
      <c r="V45" s="165">
        <f>IF(ISNUMBER(U45),U45/VLOOKUP($S45,xRates!$A$1:$AA$267,data!$T45-xRates!$B$1+2,FALSE),U45)</f>
        <v>14.700967884139789</v>
      </c>
      <c r="W45" s="162" t="s">
        <v>287</v>
      </c>
      <c r="Y45" s="165"/>
      <c r="AA45" s="163" t="s">
        <v>148</v>
      </c>
      <c r="AB45" s="162" t="s">
        <v>217</v>
      </c>
      <c r="AC45" s="162" t="s">
        <v>148</v>
      </c>
      <c r="AD45" s="163" t="s">
        <v>157</v>
      </c>
      <c r="AE45" s="162" t="str">
        <f t="shared" si="46"/>
        <v/>
      </c>
      <c r="AF45" s="163" t="s">
        <v>148</v>
      </c>
      <c r="AG45" s="163" t="s">
        <v>148</v>
      </c>
      <c r="AH45" s="163" t="s">
        <v>148</v>
      </c>
      <c r="AJ45" s="162"/>
      <c r="AK45" s="162" t="s">
        <v>288</v>
      </c>
      <c r="AL45" s="163" t="s">
        <v>159</v>
      </c>
      <c r="AM45" s="166">
        <v>68182</v>
      </c>
      <c r="AN45" s="166">
        <f>AM45/xRates!$S$157</f>
        <v>1606.3163337763128</v>
      </c>
      <c r="AO45" s="166">
        <f t="shared" si="44"/>
        <v>2871.4297013483701</v>
      </c>
      <c r="AP45" s="163" t="str">
        <f t="shared" si="32"/>
        <v>Cost-Effective</v>
      </c>
      <c r="AQ45" s="163" t="str">
        <f t="shared" si="20"/>
        <v>Cost-Effective</v>
      </c>
      <c r="AR45" s="167">
        <f t="shared" si="5"/>
        <v>0.55941342844716568</v>
      </c>
      <c r="AS45" s="167">
        <f t="shared" si="33"/>
        <v>0.34</v>
      </c>
      <c r="AT45" s="159" t="str">
        <f t="shared" si="21"/>
        <v>Not Cost-Effective</v>
      </c>
      <c r="AU45" s="167">
        <f t="shared" si="34"/>
        <v>0.23</v>
      </c>
      <c r="AV45" s="162" t="str">
        <f t="shared" si="22"/>
        <v>Not Cost-Effective</v>
      </c>
      <c r="AW45" s="167">
        <f t="shared" si="35"/>
        <v>0.49487542715488553</v>
      </c>
      <c r="AX45" s="159" t="str">
        <f t="shared" si="23"/>
        <v>Not Cost-Effective</v>
      </c>
      <c r="AY45" s="167">
        <f t="shared" si="36"/>
        <v>8.9154193773153201E-2</v>
      </c>
      <c r="AZ45" s="159" t="str">
        <f t="shared" si="24"/>
        <v>Not Cost-Effective</v>
      </c>
      <c r="BA45" s="167">
        <f t="shared" si="37"/>
        <v>0.40196929445560992</v>
      </c>
      <c r="BB45" s="159" t="str">
        <f t="shared" si="25"/>
        <v>Not Cost-Effective</v>
      </c>
      <c r="BC45" s="167">
        <f t="shared" si="38"/>
        <v>0.16182061532688366</v>
      </c>
      <c r="BD45" s="159" t="str">
        <f t="shared" si="26"/>
        <v>Not Cost-Effective</v>
      </c>
      <c r="BE45" s="162" t="s">
        <v>289</v>
      </c>
      <c r="BF45" s="162" t="s">
        <v>174</v>
      </c>
      <c r="BG45" s="168">
        <f t="shared" si="39"/>
        <v>1</v>
      </c>
      <c r="BH45" s="168">
        <f t="shared" si="40"/>
        <v>1</v>
      </c>
      <c r="BI45" s="163">
        <f t="shared" si="41"/>
        <v>1</v>
      </c>
      <c r="BJ45" s="163">
        <f t="shared" si="42"/>
        <v>1</v>
      </c>
      <c r="BK45" s="163">
        <f t="shared" si="27"/>
        <v>1</v>
      </c>
      <c r="BL45" s="163">
        <f t="shared" si="28"/>
        <v>1</v>
      </c>
      <c r="BM45" s="163">
        <f t="shared" si="29"/>
        <v>6</v>
      </c>
      <c r="BN45" s="163" t="s">
        <v>148</v>
      </c>
      <c r="BO45" s="162" t="s">
        <v>290</v>
      </c>
      <c r="BP45" s="162" t="s">
        <v>1406</v>
      </c>
      <c r="BQ45" s="162" t="s">
        <v>1426</v>
      </c>
    </row>
    <row r="46" spans="1:69">
      <c r="A46" s="159">
        <f t="shared" si="17"/>
        <v>14</v>
      </c>
      <c r="B46" s="159">
        <f t="shared" si="18"/>
        <v>2</v>
      </c>
      <c r="C46" s="160" t="str">
        <f t="shared" si="0"/>
        <v>1402</v>
      </c>
      <c r="D46" s="159" t="s">
        <v>24</v>
      </c>
      <c r="E46" s="161">
        <v>2015</v>
      </c>
      <c r="F46" s="162" t="s">
        <v>284</v>
      </c>
      <c r="G46" s="162" t="s">
        <v>285</v>
      </c>
      <c r="H46" s="163" t="str">
        <f t="shared" si="43"/>
        <v>LM</v>
      </c>
      <c r="I46" s="163" t="s">
        <v>148</v>
      </c>
      <c r="J46" s="162" t="s">
        <v>182</v>
      </c>
      <c r="K46" s="163" t="s">
        <v>183</v>
      </c>
      <c r="L46" s="163" t="s">
        <v>151</v>
      </c>
      <c r="M46" s="163" t="str">
        <f t="shared" si="19"/>
        <v>PCV10 vs NoVax</v>
      </c>
      <c r="N46" s="159" t="s">
        <v>152</v>
      </c>
      <c r="O46" s="159">
        <v>3</v>
      </c>
      <c r="P46" s="162" t="s">
        <v>157</v>
      </c>
      <c r="Q46" s="162" t="s">
        <v>167</v>
      </c>
      <c r="R46" s="162" t="s">
        <v>286</v>
      </c>
      <c r="S46" s="162" t="s">
        <v>285</v>
      </c>
      <c r="T46" s="161">
        <v>2013</v>
      </c>
      <c r="U46" s="165">
        <v>624</v>
      </c>
      <c r="V46" s="165">
        <f>IF(ISNUMBER(U46),U46/VLOOKUP($S46,xRates!$A$1:$AA$267,data!$T46-xRates!$B$1+2,FALSE),U46)</f>
        <v>14.700967884139789</v>
      </c>
      <c r="W46" s="162" t="s">
        <v>287</v>
      </c>
      <c r="Y46" s="165"/>
      <c r="AA46" s="163" t="s">
        <v>157</v>
      </c>
      <c r="AB46" s="162"/>
      <c r="AD46" s="163" t="s">
        <v>157</v>
      </c>
      <c r="AE46" s="162" t="str">
        <f t="shared" si="46"/>
        <v/>
      </c>
      <c r="AF46" s="163" t="s">
        <v>148</v>
      </c>
      <c r="AG46" s="163" t="s">
        <v>148</v>
      </c>
      <c r="AH46" s="163" t="s">
        <v>148</v>
      </c>
      <c r="AJ46" s="162"/>
      <c r="AK46" s="162" t="s">
        <v>291</v>
      </c>
      <c r="AL46" s="163" t="s">
        <v>159</v>
      </c>
      <c r="AM46" s="166">
        <v>112640</v>
      </c>
      <c r="AN46" s="166">
        <f>AM46/xRates!$S$157</f>
        <v>2653.7131770344645</v>
      </c>
      <c r="AO46" s="166">
        <f t="shared" si="44"/>
        <v>2871.4297013483701</v>
      </c>
      <c r="AP46" s="163" t="str">
        <f t="shared" si="32"/>
        <v>Cost-Effective</v>
      </c>
      <c r="AQ46" s="163" t="str">
        <f t="shared" si="20"/>
        <v>Cost-Effective</v>
      </c>
      <c r="AR46" s="167">
        <f t="shared" si="5"/>
        <v>0.92417835470195564</v>
      </c>
      <c r="AS46" s="167">
        <f t="shared" si="33"/>
        <v>0.34</v>
      </c>
      <c r="AT46" s="159" t="str">
        <f t="shared" si="21"/>
        <v>Not Cost-Effective</v>
      </c>
      <c r="AU46" s="167">
        <f t="shared" si="34"/>
        <v>0.23</v>
      </c>
      <c r="AV46" s="162" t="str">
        <f t="shared" si="22"/>
        <v>Not Cost-Effective</v>
      </c>
      <c r="AW46" s="167">
        <f t="shared" si="35"/>
        <v>0.49487542715488553</v>
      </c>
      <c r="AX46" s="159" t="str">
        <f t="shared" si="23"/>
        <v>Not Cost-Effective</v>
      </c>
      <c r="AY46" s="167">
        <f t="shared" si="36"/>
        <v>8.9154193773153201E-2</v>
      </c>
      <c r="AZ46" s="159" t="str">
        <f t="shared" si="24"/>
        <v>Not Cost-Effective</v>
      </c>
      <c r="BA46" s="167">
        <f t="shared" si="37"/>
        <v>0.40196929445560992</v>
      </c>
      <c r="BB46" s="159" t="str">
        <f t="shared" si="25"/>
        <v>Not Cost-Effective</v>
      </c>
      <c r="BC46" s="167">
        <f t="shared" si="38"/>
        <v>0.16182061532688366</v>
      </c>
      <c r="BD46" s="159" t="str">
        <f t="shared" si="26"/>
        <v>Not Cost-Effective</v>
      </c>
      <c r="BE46" s="162" t="s">
        <v>289</v>
      </c>
      <c r="BF46" s="162" t="s">
        <v>174</v>
      </c>
      <c r="BG46" s="168">
        <f t="shared" si="39"/>
        <v>1</v>
      </c>
      <c r="BH46" s="168">
        <f t="shared" si="40"/>
        <v>1</v>
      </c>
      <c r="BI46" s="163">
        <f t="shared" si="41"/>
        <v>1</v>
      </c>
      <c r="BJ46" s="163">
        <f t="shared" si="42"/>
        <v>1</v>
      </c>
      <c r="BK46" s="163">
        <f t="shared" si="27"/>
        <v>1</v>
      </c>
      <c r="BL46" s="163">
        <f t="shared" si="28"/>
        <v>1</v>
      </c>
      <c r="BM46" s="163">
        <f t="shared" si="29"/>
        <v>6</v>
      </c>
      <c r="BN46" s="163" t="s">
        <v>148</v>
      </c>
      <c r="BO46" s="162" t="s">
        <v>292</v>
      </c>
      <c r="BP46" s="162" t="s">
        <v>1406</v>
      </c>
      <c r="BQ46" s="162" t="s">
        <v>1426</v>
      </c>
    </row>
    <row r="47" spans="1:69">
      <c r="A47" s="159">
        <f t="shared" si="17"/>
        <v>14</v>
      </c>
      <c r="B47" s="159">
        <f t="shared" si="18"/>
        <v>3</v>
      </c>
      <c r="C47" s="160" t="str">
        <f t="shared" si="0"/>
        <v>1403</v>
      </c>
      <c r="D47" s="159" t="s">
        <v>24</v>
      </c>
      <c r="E47" s="161">
        <v>2015</v>
      </c>
      <c r="F47" s="162" t="s">
        <v>284</v>
      </c>
      <c r="G47" s="162" t="s">
        <v>285</v>
      </c>
      <c r="H47" s="163" t="str">
        <f t="shared" si="43"/>
        <v>LM</v>
      </c>
      <c r="I47" s="163" t="s">
        <v>148</v>
      </c>
      <c r="J47" s="162" t="s">
        <v>185</v>
      </c>
      <c r="K47" s="163" t="s">
        <v>186</v>
      </c>
      <c r="L47" s="163" t="s">
        <v>151</v>
      </c>
      <c r="M47" s="163" t="str">
        <f t="shared" si="19"/>
        <v>PCV13 vs NoVax</v>
      </c>
      <c r="N47" s="159" t="s">
        <v>152</v>
      </c>
      <c r="O47" s="159">
        <v>3</v>
      </c>
      <c r="P47" s="162" t="s">
        <v>148</v>
      </c>
      <c r="Q47" s="162" t="s">
        <v>167</v>
      </c>
      <c r="R47" s="162" t="s">
        <v>286</v>
      </c>
      <c r="S47" s="162" t="s">
        <v>285</v>
      </c>
      <c r="T47" s="161">
        <v>2013</v>
      </c>
      <c r="U47" s="165">
        <v>700</v>
      </c>
      <c r="V47" s="165">
        <f>IF(ISNUMBER(U47),U47/VLOOKUP($S47,xRates!$A$1:$AA$267,data!$T47-xRates!$B$1+2,FALSE),U47)</f>
        <v>16.491470382849123</v>
      </c>
      <c r="W47" s="162" t="s">
        <v>287</v>
      </c>
      <c r="Y47" s="165"/>
      <c r="AA47" s="163" t="s">
        <v>148</v>
      </c>
      <c r="AB47" s="162" t="s">
        <v>217</v>
      </c>
      <c r="AC47" s="162" t="s">
        <v>148</v>
      </c>
      <c r="AD47" s="163" t="s">
        <v>157</v>
      </c>
      <c r="AE47" s="162" t="str">
        <f t="shared" si="46"/>
        <v/>
      </c>
      <c r="AF47" s="163" t="s">
        <v>148</v>
      </c>
      <c r="AG47" s="163" t="s">
        <v>148</v>
      </c>
      <c r="AH47" s="163" t="s">
        <v>148</v>
      </c>
      <c r="AJ47" s="162"/>
      <c r="AK47" s="162" t="s">
        <v>293</v>
      </c>
      <c r="AL47" s="163" t="s">
        <v>159</v>
      </c>
      <c r="AM47" s="166">
        <v>54510</v>
      </c>
      <c r="AN47" s="166">
        <f>AM47/xRates!$S$157</f>
        <v>1284.2143579558654</v>
      </c>
      <c r="AO47" s="166">
        <f t="shared" si="44"/>
        <v>2871.4297013483701</v>
      </c>
      <c r="AP47" s="163" t="str">
        <f t="shared" si="32"/>
        <v>Cost-Effective</v>
      </c>
      <c r="AQ47" s="163" t="str">
        <f t="shared" si="20"/>
        <v>Cost-Effective</v>
      </c>
      <c r="AR47" s="167">
        <f t="shared" si="5"/>
        <v>0.44723865513852634</v>
      </c>
      <c r="AS47" s="167">
        <f t="shared" si="33"/>
        <v>0.34</v>
      </c>
      <c r="AT47" s="159" t="str">
        <f t="shared" si="21"/>
        <v>Not Cost-Effective</v>
      </c>
      <c r="AU47" s="167">
        <f t="shared" si="34"/>
        <v>0.23</v>
      </c>
      <c r="AV47" s="162" t="str">
        <f t="shared" si="22"/>
        <v>Not Cost-Effective</v>
      </c>
      <c r="AW47" s="167">
        <f t="shared" si="35"/>
        <v>0.49487542715488553</v>
      </c>
      <c r="AX47" s="159" t="str">
        <f t="shared" si="23"/>
        <v>Cost-Effective</v>
      </c>
      <c r="AY47" s="167">
        <f t="shared" si="36"/>
        <v>8.9154193773153201E-2</v>
      </c>
      <c r="AZ47" s="159" t="str">
        <f t="shared" si="24"/>
        <v>Not Cost-Effective</v>
      </c>
      <c r="BA47" s="167">
        <f t="shared" si="37"/>
        <v>0.40196929445560992</v>
      </c>
      <c r="BB47" s="159" t="str">
        <f t="shared" si="25"/>
        <v>Not Cost-Effective</v>
      </c>
      <c r="BC47" s="167">
        <f t="shared" si="38"/>
        <v>0.16182061532688366</v>
      </c>
      <c r="BD47" s="159" t="str">
        <f t="shared" si="26"/>
        <v>Not Cost-Effective</v>
      </c>
      <c r="BE47" s="162" t="s">
        <v>289</v>
      </c>
      <c r="BF47" s="162" t="s">
        <v>174</v>
      </c>
      <c r="BG47" s="168">
        <f t="shared" si="39"/>
        <v>1</v>
      </c>
      <c r="BH47" s="168">
        <f t="shared" si="40"/>
        <v>1</v>
      </c>
      <c r="BI47" s="163">
        <f t="shared" si="41"/>
        <v>1</v>
      </c>
      <c r="BJ47" s="163">
        <f t="shared" si="42"/>
        <v>0</v>
      </c>
      <c r="BK47" s="163">
        <f t="shared" si="27"/>
        <v>1</v>
      </c>
      <c r="BL47" s="163">
        <f t="shared" si="28"/>
        <v>1</v>
      </c>
      <c r="BM47" s="163">
        <f t="shared" si="29"/>
        <v>5</v>
      </c>
      <c r="BN47" s="163" t="s">
        <v>148</v>
      </c>
      <c r="BO47" s="162" t="s">
        <v>294</v>
      </c>
      <c r="BP47" s="162" t="s">
        <v>1406</v>
      </c>
      <c r="BQ47" s="162" t="s">
        <v>1426</v>
      </c>
    </row>
    <row r="48" spans="1:69">
      <c r="A48" s="159">
        <f t="shared" si="17"/>
        <v>14</v>
      </c>
      <c r="B48" s="159">
        <f t="shared" si="18"/>
        <v>4</v>
      </c>
      <c r="C48" s="160" t="str">
        <f t="shared" si="0"/>
        <v>1404</v>
      </c>
      <c r="D48" s="159" t="s">
        <v>24</v>
      </c>
      <c r="E48" s="161">
        <v>2015</v>
      </c>
      <c r="F48" s="162" t="s">
        <v>284</v>
      </c>
      <c r="G48" s="162" t="s">
        <v>285</v>
      </c>
      <c r="H48" s="163" t="str">
        <f t="shared" si="43"/>
        <v>LM</v>
      </c>
      <c r="I48" s="163" t="s">
        <v>148</v>
      </c>
      <c r="J48" s="162" t="s">
        <v>185</v>
      </c>
      <c r="K48" s="163" t="s">
        <v>186</v>
      </c>
      <c r="L48" s="163" t="s">
        <v>151</v>
      </c>
      <c r="M48" s="163" t="str">
        <f t="shared" si="19"/>
        <v>PCV13 vs NoVax</v>
      </c>
      <c r="N48" s="159" t="s">
        <v>152</v>
      </c>
      <c r="O48" s="159">
        <v>3</v>
      </c>
      <c r="P48" s="162" t="s">
        <v>157</v>
      </c>
      <c r="Q48" s="162" t="s">
        <v>167</v>
      </c>
      <c r="R48" s="162" t="s">
        <v>286</v>
      </c>
      <c r="S48" s="162" t="s">
        <v>285</v>
      </c>
      <c r="T48" s="161">
        <v>2013</v>
      </c>
      <c r="U48" s="165">
        <v>700</v>
      </c>
      <c r="V48" s="165">
        <f>IF(ISNUMBER(U48),U48/VLOOKUP($S48,xRates!$A$1:$AA$267,data!$T48-xRates!$B$1+2,FALSE),U48)</f>
        <v>16.491470382849123</v>
      </c>
      <c r="W48" s="162" t="s">
        <v>287</v>
      </c>
      <c r="Y48" s="165"/>
      <c r="AA48" s="163" t="s">
        <v>157</v>
      </c>
      <c r="AB48" s="162"/>
      <c r="AD48" s="163" t="s">
        <v>157</v>
      </c>
      <c r="AE48" s="162" t="str">
        <f t="shared" si="46"/>
        <v/>
      </c>
      <c r="AF48" s="163" t="s">
        <v>148</v>
      </c>
      <c r="AG48" s="163" t="s">
        <v>148</v>
      </c>
      <c r="AH48" s="163" t="s">
        <v>148</v>
      </c>
      <c r="AJ48" s="162"/>
      <c r="AK48" s="162" t="s">
        <v>295</v>
      </c>
      <c r="AL48" s="163" t="s">
        <v>159</v>
      </c>
      <c r="AM48" s="166">
        <v>84654</v>
      </c>
      <c r="AN48" s="166">
        <f>AM48/xRates!$S$157</f>
        <v>1994.3841911281568</v>
      </c>
      <c r="AO48" s="166">
        <f t="shared" si="44"/>
        <v>2871.4297013483701</v>
      </c>
      <c r="AP48" s="163" t="str">
        <f t="shared" si="32"/>
        <v>Cost-Effective</v>
      </c>
      <c r="AQ48" s="163" t="str">
        <f t="shared" si="20"/>
        <v>Cost-Effective</v>
      </c>
      <c r="AR48" s="167">
        <f t="shared" si="5"/>
        <v>0.69456138528887923</v>
      </c>
      <c r="AS48" s="167">
        <f t="shared" si="33"/>
        <v>0.34</v>
      </c>
      <c r="AT48" s="159" t="str">
        <f t="shared" si="21"/>
        <v>Not Cost-Effective</v>
      </c>
      <c r="AU48" s="167">
        <f t="shared" si="34"/>
        <v>0.23</v>
      </c>
      <c r="AV48" s="162" t="str">
        <f t="shared" si="22"/>
        <v>Not Cost-Effective</v>
      </c>
      <c r="AW48" s="167">
        <f t="shared" si="35"/>
        <v>0.49487542715488553</v>
      </c>
      <c r="AX48" s="159" t="str">
        <f t="shared" si="23"/>
        <v>Not Cost-Effective</v>
      </c>
      <c r="AY48" s="167">
        <f t="shared" si="36"/>
        <v>8.9154193773153201E-2</v>
      </c>
      <c r="AZ48" s="159" t="str">
        <f t="shared" si="24"/>
        <v>Not Cost-Effective</v>
      </c>
      <c r="BA48" s="167">
        <f t="shared" si="37"/>
        <v>0.40196929445560992</v>
      </c>
      <c r="BB48" s="159" t="str">
        <f t="shared" si="25"/>
        <v>Not Cost-Effective</v>
      </c>
      <c r="BC48" s="167">
        <f t="shared" si="38"/>
        <v>0.16182061532688366</v>
      </c>
      <c r="BD48" s="159" t="str">
        <f t="shared" si="26"/>
        <v>Not Cost-Effective</v>
      </c>
      <c r="BE48" s="162" t="s">
        <v>289</v>
      </c>
      <c r="BF48" s="162" t="s">
        <v>174</v>
      </c>
      <c r="BG48" s="168">
        <f t="shared" si="39"/>
        <v>1</v>
      </c>
      <c r="BH48" s="168">
        <f t="shared" si="40"/>
        <v>1</v>
      </c>
      <c r="BI48" s="163">
        <f t="shared" si="41"/>
        <v>1</v>
      </c>
      <c r="BJ48" s="163">
        <f t="shared" si="42"/>
        <v>1</v>
      </c>
      <c r="BK48" s="163">
        <f t="shared" si="27"/>
        <v>1</v>
      </c>
      <c r="BL48" s="163">
        <f t="shared" si="28"/>
        <v>1</v>
      </c>
      <c r="BM48" s="163">
        <f t="shared" si="29"/>
        <v>6</v>
      </c>
      <c r="BN48" s="163" t="s">
        <v>148</v>
      </c>
      <c r="BO48" s="162" t="s">
        <v>296</v>
      </c>
      <c r="BP48" s="162" t="s">
        <v>1406</v>
      </c>
      <c r="BQ48" s="162" t="s">
        <v>1426</v>
      </c>
    </row>
    <row r="49" spans="1:70">
      <c r="A49" s="159">
        <f t="shared" si="17"/>
        <v>14</v>
      </c>
      <c r="B49" s="159">
        <f t="shared" si="18"/>
        <v>5</v>
      </c>
      <c r="C49" s="160" t="str">
        <f t="shared" si="0"/>
        <v>1405</v>
      </c>
      <c r="D49" s="159" t="s">
        <v>24</v>
      </c>
      <c r="E49" s="161">
        <v>2015</v>
      </c>
      <c r="F49" s="162" t="s">
        <v>284</v>
      </c>
      <c r="G49" s="162" t="s">
        <v>285</v>
      </c>
      <c r="H49" s="163" t="str">
        <f t="shared" si="43"/>
        <v>LM</v>
      </c>
      <c r="I49" s="163" t="s">
        <v>148</v>
      </c>
      <c r="J49" s="162" t="s">
        <v>237</v>
      </c>
      <c r="K49" s="163" t="s">
        <v>186</v>
      </c>
      <c r="L49" s="163" t="s">
        <v>183</v>
      </c>
      <c r="M49" s="163" t="str">
        <f t="shared" si="19"/>
        <v>PCV13 vs PCV10</v>
      </c>
      <c r="N49" s="159" t="s">
        <v>152</v>
      </c>
      <c r="O49" s="159">
        <v>3</v>
      </c>
      <c r="P49" s="162" t="s">
        <v>148</v>
      </c>
      <c r="Q49" s="162" t="s">
        <v>167</v>
      </c>
      <c r="R49" s="162" t="s">
        <v>286</v>
      </c>
      <c r="S49" s="162" t="s">
        <v>285</v>
      </c>
      <c r="T49" s="161">
        <v>2013</v>
      </c>
      <c r="U49" s="165">
        <v>700</v>
      </c>
      <c r="V49" s="165">
        <f>IF(ISNUMBER(U49),U49/VLOOKUP($S49,xRates!$A$1:$AA$267,data!$T49-xRates!$B$1+2,FALSE),U49)</f>
        <v>16.491470382849123</v>
      </c>
      <c r="W49" s="162" t="s">
        <v>287</v>
      </c>
      <c r="X49" s="159">
        <v>624</v>
      </c>
      <c r="Y49" s="165">
        <v>14.700967884139789</v>
      </c>
      <c r="Z49" s="162" t="s">
        <v>297</v>
      </c>
      <c r="AA49" s="163" t="s">
        <v>148</v>
      </c>
      <c r="AB49" s="162" t="s">
        <v>217</v>
      </c>
      <c r="AC49" s="162" t="s">
        <v>148</v>
      </c>
      <c r="AD49" s="163" t="s">
        <v>157</v>
      </c>
      <c r="AE49" s="162" t="str">
        <f t="shared" si="46"/>
        <v/>
      </c>
      <c r="AF49" s="163" t="s">
        <v>148</v>
      </c>
      <c r="AG49" s="163" t="s">
        <v>148</v>
      </c>
      <c r="AH49" s="163" t="s">
        <v>148</v>
      </c>
      <c r="AJ49" s="162"/>
      <c r="AK49" s="162" t="s">
        <v>298</v>
      </c>
      <c r="AL49" s="163" t="s">
        <v>159</v>
      </c>
      <c r="AM49" s="166">
        <v>15795</v>
      </c>
      <c r="AN49" s="166">
        <f>AM49/xRates!$S$157</f>
        <v>372.11824956728844</v>
      </c>
      <c r="AO49" s="166">
        <f t="shared" si="44"/>
        <v>2871.4297013483701</v>
      </c>
      <c r="AP49" s="163" t="str">
        <f t="shared" si="32"/>
        <v>Cost-Effective</v>
      </c>
      <c r="AQ49" s="163" t="str">
        <f t="shared" si="20"/>
        <v>Cost-Effective</v>
      </c>
      <c r="AR49" s="167">
        <f t="shared" si="5"/>
        <v>0.12959336925175241</v>
      </c>
      <c r="AS49" s="167">
        <f t="shared" si="33"/>
        <v>0.34</v>
      </c>
      <c r="AT49" s="159" t="str">
        <f t="shared" si="21"/>
        <v>Cost-Effective</v>
      </c>
      <c r="AU49" s="167">
        <f t="shared" si="34"/>
        <v>0.23</v>
      </c>
      <c r="AV49" s="162" t="str">
        <f t="shared" si="22"/>
        <v>Cost-Effective</v>
      </c>
      <c r="AW49" s="167">
        <f t="shared" si="35"/>
        <v>0.49487542715488553</v>
      </c>
      <c r="AX49" s="159" t="str">
        <f t="shared" si="23"/>
        <v>Cost-Effective</v>
      </c>
      <c r="AY49" s="167">
        <f t="shared" si="36"/>
        <v>8.9154193773153201E-2</v>
      </c>
      <c r="AZ49" s="159" t="str">
        <f t="shared" si="24"/>
        <v>Not Cost-Effective</v>
      </c>
      <c r="BA49" s="167">
        <f t="shared" si="37"/>
        <v>0.40196929445560992</v>
      </c>
      <c r="BB49" s="159" t="str">
        <f t="shared" si="25"/>
        <v>Cost-Effective</v>
      </c>
      <c r="BC49" s="167">
        <f t="shared" si="38"/>
        <v>0.16182061532688366</v>
      </c>
      <c r="BD49" s="159" t="str">
        <f t="shared" si="26"/>
        <v>Cost-Effective</v>
      </c>
      <c r="BE49" s="162" t="s">
        <v>289</v>
      </c>
      <c r="BF49" s="162" t="s">
        <v>174</v>
      </c>
      <c r="BG49" s="168">
        <f t="shared" si="39"/>
        <v>0</v>
      </c>
      <c r="BH49" s="168">
        <f t="shared" si="40"/>
        <v>0</v>
      </c>
      <c r="BI49" s="163">
        <f t="shared" si="41"/>
        <v>1</v>
      </c>
      <c r="BJ49" s="163">
        <f t="shared" si="42"/>
        <v>0</v>
      </c>
      <c r="BK49" s="163">
        <f t="shared" si="27"/>
        <v>0</v>
      </c>
      <c r="BL49" s="163">
        <f t="shared" si="28"/>
        <v>0</v>
      </c>
      <c r="BM49" s="163">
        <f t="shared" si="29"/>
        <v>1</v>
      </c>
      <c r="BN49" s="163" t="s">
        <v>148</v>
      </c>
      <c r="BP49" s="162" t="s">
        <v>1406</v>
      </c>
      <c r="BQ49" s="162" t="s">
        <v>1426</v>
      </c>
    </row>
    <row r="50" spans="1:70">
      <c r="A50" s="159">
        <f t="shared" si="17"/>
        <v>14</v>
      </c>
      <c r="B50" s="159">
        <f t="shared" si="18"/>
        <v>6</v>
      </c>
      <c r="C50" s="160" t="str">
        <f t="shared" si="0"/>
        <v>1406</v>
      </c>
      <c r="D50" s="159" t="s">
        <v>24</v>
      </c>
      <c r="E50" s="161">
        <v>2015</v>
      </c>
      <c r="F50" s="162" t="s">
        <v>284</v>
      </c>
      <c r="G50" s="162" t="s">
        <v>285</v>
      </c>
      <c r="H50" s="163" t="str">
        <f t="shared" si="43"/>
        <v>LM</v>
      </c>
      <c r="I50" s="163" t="s">
        <v>148</v>
      </c>
      <c r="J50" s="162" t="s">
        <v>237</v>
      </c>
      <c r="K50" s="163" t="s">
        <v>186</v>
      </c>
      <c r="L50" s="163" t="s">
        <v>183</v>
      </c>
      <c r="M50" s="163" t="str">
        <f t="shared" si="19"/>
        <v>PCV13 vs PCV10</v>
      </c>
      <c r="N50" s="159" t="s">
        <v>152</v>
      </c>
      <c r="O50" s="159">
        <v>3</v>
      </c>
      <c r="P50" s="162" t="s">
        <v>157</v>
      </c>
      <c r="Q50" s="162" t="s">
        <v>167</v>
      </c>
      <c r="R50" s="162" t="s">
        <v>286</v>
      </c>
      <c r="S50" s="162" t="s">
        <v>285</v>
      </c>
      <c r="T50" s="161">
        <v>2013</v>
      </c>
      <c r="U50" s="165">
        <v>700</v>
      </c>
      <c r="V50" s="165">
        <f>IF(ISNUMBER(U50),U50/VLOOKUP($S50,xRates!$A$1:$AA$267,data!$T50-xRates!$B$1+2,FALSE),U50)</f>
        <v>16.491470382849123</v>
      </c>
      <c r="W50" s="162" t="s">
        <v>287</v>
      </c>
      <c r="X50" s="159">
        <v>624</v>
      </c>
      <c r="Y50" s="165">
        <v>14.700967884139789</v>
      </c>
      <c r="Z50" s="162" t="s">
        <v>297</v>
      </c>
      <c r="AA50" s="163" t="s">
        <v>157</v>
      </c>
      <c r="AB50" s="162"/>
      <c r="AD50" s="163" t="s">
        <v>157</v>
      </c>
      <c r="AE50" s="162" t="str">
        <f t="shared" si="46"/>
        <v/>
      </c>
      <c r="AF50" s="163" t="s">
        <v>148</v>
      </c>
      <c r="AG50" s="163" t="s">
        <v>148</v>
      </c>
      <c r="AH50" s="163" t="s">
        <v>148</v>
      </c>
      <c r="AJ50" s="162"/>
      <c r="AK50" s="162" t="s">
        <v>299</v>
      </c>
      <c r="AL50" s="163" t="s">
        <v>159</v>
      </c>
      <c r="AM50" s="166">
        <v>23836</v>
      </c>
      <c r="AN50" s="166">
        <f>AM50/xRates!$S$157</f>
        <v>561.55812577941674</v>
      </c>
      <c r="AO50" s="166">
        <f t="shared" si="44"/>
        <v>2871.4297013483701</v>
      </c>
      <c r="AP50" s="163" t="str">
        <f t="shared" si="32"/>
        <v>Cost-Effective</v>
      </c>
      <c r="AQ50" s="163" t="str">
        <f t="shared" si="20"/>
        <v>Cost-Effective</v>
      </c>
      <c r="AR50" s="167">
        <f t="shared" si="5"/>
        <v>0.19556742953369866</v>
      </c>
      <c r="AS50" s="167">
        <f t="shared" si="33"/>
        <v>0.34</v>
      </c>
      <c r="AT50" s="159" t="str">
        <f t="shared" si="21"/>
        <v>Cost-Effective</v>
      </c>
      <c r="AU50" s="167">
        <f t="shared" si="34"/>
        <v>0.23</v>
      </c>
      <c r="AV50" s="162" t="str">
        <f t="shared" si="22"/>
        <v>Cost-Effective</v>
      </c>
      <c r="AW50" s="167">
        <f t="shared" si="35"/>
        <v>0.49487542715488553</v>
      </c>
      <c r="AX50" s="159" t="str">
        <f t="shared" si="23"/>
        <v>Cost-Effective</v>
      </c>
      <c r="AY50" s="167">
        <f t="shared" si="36"/>
        <v>8.9154193773153201E-2</v>
      </c>
      <c r="AZ50" s="159" t="str">
        <f t="shared" si="24"/>
        <v>Not Cost-Effective</v>
      </c>
      <c r="BA50" s="167">
        <f t="shared" si="37"/>
        <v>0.40196929445560992</v>
      </c>
      <c r="BB50" s="159" t="str">
        <f t="shared" si="25"/>
        <v>Cost-Effective</v>
      </c>
      <c r="BC50" s="167">
        <f t="shared" si="38"/>
        <v>0.16182061532688366</v>
      </c>
      <c r="BD50" s="159" t="str">
        <f t="shared" si="26"/>
        <v>Not Cost-Effective</v>
      </c>
      <c r="BE50" s="162" t="s">
        <v>289</v>
      </c>
      <c r="BF50" s="162" t="s">
        <v>174</v>
      </c>
      <c r="BG50" s="168">
        <f t="shared" si="39"/>
        <v>0</v>
      </c>
      <c r="BH50" s="168">
        <f t="shared" si="40"/>
        <v>0</v>
      </c>
      <c r="BI50" s="163">
        <f t="shared" si="41"/>
        <v>1</v>
      </c>
      <c r="BJ50" s="163">
        <f t="shared" si="42"/>
        <v>0</v>
      </c>
      <c r="BK50" s="163">
        <f t="shared" si="27"/>
        <v>1</v>
      </c>
      <c r="BL50" s="163">
        <f t="shared" si="28"/>
        <v>0</v>
      </c>
      <c r="BM50" s="163">
        <f t="shared" si="29"/>
        <v>2</v>
      </c>
      <c r="BN50" s="163" t="s">
        <v>148</v>
      </c>
      <c r="BP50" s="162" t="s">
        <v>1406</v>
      </c>
      <c r="BQ50" s="162" t="s">
        <v>1426</v>
      </c>
    </row>
    <row r="51" spans="1:70">
      <c r="A51" s="159">
        <f t="shared" si="17"/>
        <v>15</v>
      </c>
      <c r="B51" s="159">
        <f t="shared" si="18"/>
        <v>1</v>
      </c>
      <c r="C51" s="160" t="str">
        <f t="shared" si="0"/>
        <v>1501</v>
      </c>
      <c r="D51" s="159" t="s">
        <v>36</v>
      </c>
      <c r="E51" s="161">
        <v>2014</v>
      </c>
      <c r="F51" s="162" t="s">
        <v>300</v>
      </c>
      <c r="G51" s="162" t="s">
        <v>285</v>
      </c>
      <c r="H51" s="163" t="str">
        <f t="shared" si="43"/>
        <v>LM</v>
      </c>
      <c r="I51" s="163" t="s">
        <v>148</v>
      </c>
      <c r="J51" s="162" t="s">
        <v>182</v>
      </c>
      <c r="K51" s="163" t="s">
        <v>183</v>
      </c>
      <c r="L51" s="163" t="s">
        <v>151</v>
      </c>
      <c r="M51" s="163" t="str">
        <f t="shared" si="19"/>
        <v>PCV10 vs NoVax</v>
      </c>
      <c r="N51" s="159" t="s">
        <v>152</v>
      </c>
      <c r="O51" s="159">
        <v>3</v>
      </c>
      <c r="P51" s="162" t="s">
        <v>148</v>
      </c>
      <c r="Q51" s="162" t="s">
        <v>167</v>
      </c>
      <c r="R51" s="162" t="s">
        <v>286</v>
      </c>
      <c r="S51" s="162" t="s">
        <v>285</v>
      </c>
      <c r="T51" s="159">
        <v>2012</v>
      </c>
      <c r="U51" s="165">
        <v>800</v>
      </c>
      <c r="V51" s="165">
        <f>IF(ISNUMBER(U51),U51/VLOOKUP($S51,xRates!$A$1:$AA$267,data!$T51-xRates!$B$1+2,FALSE),U51)</f>
        <v>18.944419442263115</v>
      </c>
      <c r="W51" s="162" t="s">
        <v>301</v>
      </c>
      <c r="Y51" s="165"/>
      <c r="AA51" s="163" t="s">
        <v>157</v>
      </c>
      <c r="AB51" s="162"/>
      <c r="AD51" s="163" t="s">
        <v>148</v>
      </c>
      <c r="AE51" s="162" t="s">
        <v>177</v>
      </c>
      <c r="AF51" s="163" t="s">
        <v>148</v>
      </c>
      <c r="AG51" s="163" t="s">
        <v>148</v>
      </c>
      <c r="AH51" s="163" t="s">
        <v>148</v>
      </c>
      <c r="AJ51" s="162" t="s">
        <v>255</v>
      </c>
      <c r="AK51" s="162" t="s">
        <v>302</v>
      </c>
      <c r="AL51" s="163" t="s">
        <v>159</v>
      </c>
      <c r="AM51" s="166">
        <v>50913</v>
      </c>
      <c r="AN51" s="166">
        <f>AM51/xRates!$R$157</f>
        <v>1205.6465338299274</v>
      </c>
      <c r="AO51" s="166">
        <f t="shared" si="44"/>
        <v>2694.3051089999999</v>
      </c>
      <c r="AP51" s="163" t="str">
        <f t="shared" si="32"/>
        <v>Cost-Effective</v>
      </c>
      <c r="AQ51" s="163" t="str">
        <f t="shared" si="20"/>
        <v>Cost-Effective</v>
      </c>
      <c r="AR51" s="167">
        <f t="shared" si="5"/>
        <v>0.44747958566481993</v>
      </c>
      <c r="AS51" s="167">
        <f t="shared" si="33"/>
        <v>0.34</v>
      </c>
      <c r="AT51" s="159" t="str">
        <f t="shared" si="21"/>
        <v>Not Cost-Effective</v>
      </c>
      <c r="AU51" s="167">
        <f t="shared" si="34"/>
        <v>0.23</v>
      </c>
      <c r="AV51" s="162" t="str">
        <f t="shared" si="22"/>
        <v>Not Cost-Effective</v>
      </c>
      <c r="AW51" s="167">
        <f t="shared" si="35"/>
        <v>0.49487542715488553</v>
      </c>
      <c r="AX51" s="159" t="str">
        <f t="shared" si="23"/>
        <v>Cost-Effective</v>
      </c>
      <c r="AY51" s="167">
        <f t="shared" si="36"/>
        <v>8.9154193773153201E-2</v>
      </c>
      <c r="AZ51" s="159" t="str">
        <f t="shared" si="24"/>
        <v>Not Cost-Effective</v>
      </c>
      <c r="BA51" s="167">
        <f t="shared" si="37"/>
        <v>0.40196929445560992</v>
      </c>
      <c r="BB51" s="159" t="str">
        <f t="shared" si="25"/>
        <v>Not Cost-Effective</v>
      </c>
      <c r="BC51" s="167">
        <f t="shared" si="38"/>
        <v>0.16182061532688366</v>
      </c>
      <c r="BD51" s="159" t="str">
        <f t="shared" si="26"/>
        <v>Not Cost-Effective</v>
      </c>
      <c r="BE51" s="162" t="s">
        <v>210</v>
      </c>
      <c r="BF51" s="162" t="s">
        <v>174</v>
      </c>
      <c r="BG51" s="168">
        <f t="shared" si="39"/>
        <v>1</v>
      </c>
      <c r="BH51" s="168">
        <f t="shared" si="40"/>
        <v>1</v>
      </c>
      <c r="BI51" s="163">
        <f t="shared" si="41"/>
        <v>1</v>
      </c>
      <c r="BJ51" s="163">
        <f t="shared" si="42"/>
        <v>0</v>
      </c>
      <c r="BK51" s="163">
        <f t="shared" si="27"/>
        <v>1</v>
      </c>
      <c r="BL51" s="163">
        <f t="shared" si="28"/>
        <v>1</v>
      </c>
      <c r="BM51" s="163">
        <f t="shared" si="29"/>
        <v>5</v>
      </c>
      <c r="BN51" s="163" t="s">
        <v>157</v>
      </c>
      <c r="BO51" s="162" t="str">
        <f>IF(BN51="No", "", "")</f>
        <v/>
      </c>
      <c r="BP51" s="162" t="s">
        <v>272</v>
      </c>
      <c r="BQ51" s="162" t="s">
        <v>1425</v>
      </c>
    </row>
    <row r="52" spans="1:70" s="173" customFormat="1">
      <c r="A52" s="159">
        <f t="shared" si="17"/>
        <v>15</v>
      </c>
      <c r="B52" s="159">
        <f t="shared" si="18"/>
        <v>2</v>
      </c>
      <c r="C52" s="170" t="str">
        <f t="shared" si="0"/>
        <v>1502</v>
      </c>
      <c r="D52" s="171" t="s">
        <v>36</v>
      </c>
      <c r="E52" s="172">
        <v>2014</v>
      </c>
      <c r="F52" s="173" t="s">
        <v>300</v>
      </c>
      <c r="G52" s="173" t="s">
        <v>285</v>
      </c>
      <c r="H52" s="174" t="str">
        <f t="shared" si="43"/>
        <v>LM</v>
      </c>
      <c r="I52" s="174" t="s">
        <v>148</v>
      </c>
      <c r="J52" s="173" t="s">
        <v>222</v>
      </c>
      <c r="K52" s="174" t="s">
        <v>186</v>
      </c>
      <c r="L52" s="174" t="s">
        <v>183</v>
      </c>
      <c r="M52" s="163" t="str">
        <f t="shared" si="19"/>
        <v>PCV13 vs PCV10</v>
      </c>
      <c r="N52" s="171" t="s">
        <v>152</v>
      </c>
      <c r="O52" s="171">
        <v>3</v>
      </c>
      <c r="P52" s="173" t="s">
        <v>148</v>
      </c>
      <c r="Q52" s="175" t="s">
        <v>167</v>
      </c>
      <c r="R52" s="173" t="s">
        <v>286</v>
      </c>
      <c r="S52" s="173" t="s">
        <v>285</v>
      </c>
      <c r="T52" s="172">
        <v>2012</v>
      </c>
      <c r="U52" s="176">
        <v>800</v>
      </c>
      <c r="V52" s="176">
        <f>IF(ISNUMBER(U52),U52/VLOOKUP($S52,xRates!$A$1:$AA$267,data!$T52-xRates!$B$1+2,FALSE),U52)</f>
        <v>18.944419442263115</v>
      </c>
      <c r="W52" s="173" t="s">
        <v>301</v>
      </c>
      <c r="X52" s="171">
        <v>800</v>
      </c>
      <c r="Y52" s="176">
        <v>18.944419442263115</v>
      </c>
      <c r="Z52" s="173" t="s">
        <v>303</v>
      </c>
      <c r="AA52" s="174" t="s">
        <v>157</v>
      </c>
      <c r="AD52" s="174" t="s">
        <v>148</v>
      </c>
      <c r="AE52" s="173" t="s">
        <v>177</v>
      </c>
      <c r="AF52" s="174" t="s">
        <v>148</v>
      </c>
      <c r="AG52" s="174" t="s">
        <v>148</v>
      </c>
      <c r="AH52" s="174" t="s">
        <v>148</v>
      </c>
      <c r="AI52" s="174"/>
      <c r="AJ52" s="173" t="s">
        <v>255</v>
      </c>
      <c r="AK52" s="173" t="s">
        <v>304</v>
      </c>
      <c r="AL52" s="163" t="s">
        <v>159</v>
      </c>
      <c r="AM52" s="177">
        <v>310274.65999999997</v>
      </c>
      <c r="AN52" s="177">
        <f>AM52/xRates!$R$157</f>
        <v>7347.4666266819713</v>
      </c>
      <c r="AO52" s="177">
        <f t="shared" si="44"/>
        <v>2694.3051089999999</v>
      </c>
      <c r="AP52" s="174" t="str">
        <f t="shared" si="32"/>
        <v>Not Cost-Effective</v>
      </c>
      <c r="AQ52" s="174" t="str">
        <f t="shared" si="20"/>
        <v>Cost-Effective</v>
      </c>
      <c r="AR52" s="167">
        <f t="shared" si="5"/>
        <v>2.7270358513364537</v>
      </c>
      <c r="AS52" s="167">
        <f t="shared" si="33"/>
        <v>0.34</v>
      </c>
      <c r="AT52" s="159" t="str">
        <f t="shared" si="21"/>
        <v>Not Cost-Effective</v>
      </c>
      <c r="AU52" s="167">
        <f t="shared" si="34"/>
        <v>0.23</v>
      </c>
      <c r="AV52" s="162" t="str">
        <f t="shared" si="22"/>
        <v>Not Cost-Effective</v>
      </c>
      <c r="AW52" s="167">
        <f t="shared" si="35"/>
        <v>0.49487542715488553</v>
      </c>
      <c r="AX52" s="159" t="str">
        <f t="shared" si="23"/>
        <v>Not Cost-Effective</v>
      </c>
      <c r="AY52" s="167">
        <f t="shared" si="36"/>
        <v>8.9154193773153201E-2</v>
      </c>
      <c r="AZ52" s="159" t="str">
        <f t="shared" si="24"/>
        <v>Not Cost-Effective</v>
      </c>
      <c r="BA52" s="167">
        <f t="shared" si="37"/>
        <v>0.40196929445560992</v>
      </c>
      <c r="BB52" s="159" t="str">
        <f t="shared" si="25"/>
        <v>Not Cost-Effective</v>
      </c>
      <c r="BC52" s="167">
        <f t="shared" si="38"/>
        <v>0.16182061532688366</v>
      </c>
      <c r="BD52" s="159" t="str">
        <f t="shared" si="26"/>
        <v>Not Cost-Effective</v>
      </c>
      <c r="BE52" s="173" t="s">
        <v>210</v>
      </c>
      <c r="BF52" s="171" t="s">
        <v>161</v>
      </c>
      <c r="BG52" s="178" t="str">
        <f t="shared" si="39"/>
        <v>.</v>
      </c>
      <c r="BH52" s="178" t="str">
        <f t="shared" si="40"/>
        <v>.</v>
      </c>
      <c r="BI52" s="174" t="str">
        <f t="shared" si="41"/>
        <v>.</v>
      </c>
      <c r="BJ52" s="174" t="str">
        <f t="shared" si="42"/>
        <v>.</v>
      </c>
      <c r="BK52" s="163" t="str">
        <f t="shared" si="27"/>
        <v>.</v>
      </c>
      <c r="BL52" s="163" t="str">
        <f t="shared" si="28"/>
        <v>.</v>
      </c>
      <c r="BM52" s="163">
        <f t="shared" si="29"/>
        <v>0</v>
      </c>
      <c r="BN52" s="174" t="s">
        <v>157</v>
      </c>
      <c r="BO52" s="173" t="str">
        <f>IF(BN52="No", "", "")</f>
        <v/>
      </c>
      <c r="BP52" s="173" t="s">
        <v>272</v>
      </c>
      <c r="BQ52" s="162" t="s">
        <v>1425</v>
      </c>
    </row>
    <row r="53" spans="1:70">
      <c r="A53" s="159">
        <f t="shared" si="17"/>
        <v>16</v>
      </c>
      <c r="B53" s="159">
        <f t="shared" si="18"/>
        <v>1</v>
      </c>
      <c r="C53" s="160" t="str">
        <f t="shared" si="0"/>
        <v>1601</v>
      </c>
      <c r="D53" s="159" t="s">
        <v>305</v>
      </c>
      <c r="E53" s="161">
        <v>2017</v>
      </c>
      <c r="F53" s="162" t="s">
        <v>306</v>
      </c>
      <c r="G53" s="162" t="s">
        <v>307</v>
      </c>
      <c r="H53" s="163" t="str">
        <f t="shared" si="43"/>
        <v>UM</v>
      </c>
      <c r="I53" s="163" t="s">
        <v>148</v>
      </c>
      <c r="J53" s="162" t="s">
        <v>185</v>
      </c>
      <c r="K53" s="163" t="s">
        <v>186</v>
      </c>
      <c r="L53" s="163" t="s">
        <v>151</v>
      </c>
      <c r="M53" s="163" t="str">
        <f t="shared" si="19"/>
        <v>PCV13 vs NoVax</v>
      </c>
      <c r="N53" s="159" t="s">
        <v>308</v>
      </c>
      <c r="O53" s="159">
        <v>3</v>
      </c>
      <c r="P53" s="162" t="s">
        <v>148</v>
      </c>
      <c r="Q53" s="162" t="s">
        <v>153</v>
      </c>
      <c r="R53" s="162" t="s">
        <v>154</v>
      </c>
      <c r="S53" s="162" t="s">
        <v>155</v>
      </c>
      <c r="T53" s="159">
        <v>2014</v>
      </c>
      <c r="U53" s="165">
        <v>3.3</v>
      </c>
      <c r="V53" s="165">
        <f>IF(ISNUMBER(U53),U53/VLOOKUP($S53,xRates!$A$1:$AA$267,data!$T53-xRates!$B$1+2,FALSE),U53)</f>
        <v>3.3</v>
      </c>
      <c r="W53" s="162" t="s">
        <v>309</v>
      </c>
      <c r="Y53" s="165"/>
      <c r="AA53" s="163" t="s">
        <v>148</v>
      </c>
      <c r="AB53" s="162" t="s">
        <v>310</v>
      </c>
      <c r="AC53" s="162" t="s">
        <v>148</v>
      </c>
      <c r="AD53" s="163" t="s">
        <v>148</v>
      </c>
      <c r="AE53" s="162" t="s">
        <v>311</v>
      </c>
      <c r="AF53" s="163" t="s">
        <v>148</v>
      </c>
      <c r="AG53" s="163" t="s">
        <v>148</v>
      </c>
      <c r="AH53" s="163" t="s">
        <v>148</v>
      </c>
      <c r="AI53" s="163" t="s">
        <v>312</v>
      </c>
      <c r="AJ53" s="162" t="s">
        <v>171</v>
      </c>
      <c r="AK53" s="162" t="s">
        <v>313</v>
      </c>
      <c r="AL53" s="163" t="s">
        <v>247</v>
      </c>
      <c r="AM53" s="179">
        <v>-27</v>
      </c>
      <c r="AN53" s="179">
        <v>-27</v>
      </c>
      <c r="AO53" s="179">
        <f t="shared" si="44"/>
        <v>4158.521471</v>
      </c>
      <c r="AP53" s="163" t="str">
        <f t="shared" si="32"/>
        <v>Cost-Saving</v>
      </c>
      <c r="AQ53" s="163" t="str">
        <f t="shared" si="20"/>
        <v>Cost-Saving</v>
      </c>
      <c r="AR53" s="167">
        <f t="shared" si="5"/>
        <v>-6.4926922196477943E-3</v>
      </c>
      <c r="AS53" s="167">
        <f t="shared" si="33"/>
        <v>0.49</v>
      </c>
      <c r="AT53" s="159" t="str">
        <f t="shared" si="21"/>
        <v>Cost-Saving</v>
      </c>
      <c r="AU53" s="167">
        <f t="shared" si="34"/>
        <v>0.35</v>
      </c>
      <c r="AV53" s="162" t="str">
        <f t="shared" si="22"/>
        <v>Cost-Saving</v>
      </c>
      <c r="AW53" s="167">
        <f t="shared" si="35"/>
        <v>0.47754403164042214</v>
      </c>
      <c r="AX53" s="159" t="str">
        <f t="shared" si="23"/>
        <v>Cost-Saving</v>
      </c>
      <c r="AY53" s="167">
        <f t="shared" si="36"/>
        <v>0.12436758234088692</v>
      </c>
      <c r="AZ53" s="159" t="str">
        <f t="shared" si="24"/>
        <v>Cost-Saving</v>
      </c>
      <c r="BA53" s="167">
        <f t="shared" si="37"/>
        <v>0.36210120888612346</v>
      </c>
      <c r="BB53" s="159" t="str">
        <f t="shared" si="25"/>
        <v>Cost-Saving</v>
      </c>
      <c r="BC53" s="167">
        <f t="shared" si="38"/>
        <v>0.1457485743604334</v>
      </c>
      <c r="BD53" s="159" t="str">
        <f t="shared" si="26"/>
        <v>Cost-Saving</v>
      </c>
      <c r="BE53" s="162" t="s">
        <v>210</v>
      </c>
      <c r="BF53" s="162" t="s">
        <v>239</v>
      </c>
      <c r="BG53" s="168" t="str">
        <f t="shared" si="39"/>
        <v>.</v>
      </c>
      <c r="BH53" s="168" t="str">
        <f t="shared" si="40"/>
        <v>.</v>
      </c>
      <c r="BI53" s="163" t="str">
        <f t="shared" si="41"/>
        <v>.</v>
      </c>
      <c r="BJ53" s="163" t="str">
        <f t="shared" si="42"/>
        <v>.</v>
      </c>
      <c r="BK53" s="163" t="str">
        <f t="shared" si="27"/>
        <v>.</v>
      </c>
      <c r="BL53" s="163" t="str">
        <f t="shared" si="28"/>
        <v>.</v>
      </c>
      <c r="BM53" s="163">
        <f t="shared" si="29"/>
        <v>0</v>
      </c>
      <c r="BN53" s="163" t="s">
        <v>148</v>
      </c>
      <c r="BO53" s="162" t="s">
        <v>314</v>
      </c>
      <c r="BP53" s="162" t="s">
        <v>1406</v>
      </c>
      <c r="BQ53" s="162" t="s">
        <v>1426</v>
      </c>
      <c r="BR53" s="162" t="s">
        <v>315</v>
      </c>
    </row>
    <row r="54" spans="1:70">
      <c r="A54" s="159">
        <f t="shared" si="17"/>
        <v>16</v>
      </c>
      <c r="B54" s="159">
        <f t="shared" si="18"/>
        <v>2</v>
      </c>
      <c r="C54" s="160" t="str">
        <f t="shared" si="0"/>
        <v>1602</v>
      </c>
      <c r="D54" s="159" t="s">
        <v>305</v>
      </c>
      <c r="E54" s="161">
        <v>2017</v>
      </c>
      <c r="F54" s="162" t="s">
        <v>306</v>
      </c>
      <c r="G54" s="162" t="s">
        <v>307</v>
      </c>
      <c r="H54" s="163" t="str">
        <f t="shared" si="43"/>
        <v>UM</v>
      </c>
      <c r="I54" s="163" t="s">
        <v>148</v>
      </c>
      <c r="J54" s="162" t="s">
        <v>185</v>
      </c>
      <c r="K54" s="163" t="s">
        <v>186</v>
      </c>
      <c r="L54" s="163" t="s">
        <v>151</v>
      </c>
      <c r="M54" s="163" t="str">
        <f t="shared" si="19"/>
        <v>PCV13 vs NoVax</v>
      </c>
      <c r="N54" s="159" t="s">
        <v>308</v>
      </c>
      <c r="O54" s="159">
        <v>3</v>
      </c>
      <c r="P54" s="162" t="s">
        <v>148</v>
      </c>
      <c r="Q54" s="162" t="s">
        <v>167</v>
      </c>
      <c r="R54" s="162" t="s">
        <v>154</v>
      </c>
      <c r="S54" s="162" t="s">
        <v>155</v>
      </c>
      <c r="T54" s="159">
        <v>2014</v>
      </c>
      <c r="U54" s="165">
        <v>3.3</v>
      </c>
      <c r="V54" s="165">
        <f>IF(ISNUMBER(U54),U54/VLOOKUP($S54,xRates!$A$1:$AA$267,data!$T54-xRates!$B$1+2,FALSE),U54)</f>
        <v>3.3</v>
      </c>
      <c r="W54" s="162" t="s">
        <v>309</v>
      </c>
      <c r="Y54" s="165"/>
      <c r="AA54" s="163" t="s">
        <v>148</v>
      </c>
      <c r="AB54" s="162" t="s">
        <v>310</v>
      </c>
      <c r="AC54" s="162" t="s">
        <v>148</v>
      </c>
      <c r="AD54" s="163" t="s">
        <v>148</v>
      </c>
      <c r="AE54" s="162" t="s">
        <v>311</v>
      </c>
      <c r="AF54" s="163" t="s">
        <v>148</v>
      </c>
      <c r="AG54" s="163" t="s">
        <v>148</v>
      </c>
      <c r="AH54" s="163" t="s">
        <v>148</v>
      </c>
      <c r="AI54" s="163" t="s">
        <v>312</v>
      </c>
      <c r="AJ54" s="162" t="s">
        <v>171</v>
      </c>
      <c r="AK54" s="162" t="s">
        <v>316</v>
      </c>
      <c r="AL54" s="163" t="s">
        <v>247</v>
      </c>
      <c r="AM54" s="179">
        <v>52</v>
      </c>
      <c r="AN54" s="179">
        <v>52</v>
      </c>
      <c r="AO54" s="179">
        <f t="shared" si="44"/>
        <v>4158.521471</v>
      </c>
      <c r="AP54" s="163" t="str">
        <f t="shared" si="32"/>
        <v>Cost-Effective</v>
      </c>
      <c r="AQ54" s="163" t="str">
        <f t="shared" si="20"/>
        <v>Cost-Effective</v>
      </c>
      <c r="AR54" s="167">
        <f t="shared" si="5"/>
        <v>1.2504444274877234E-2</v>
      </c>
      <c r="AS54" s="167">
        <f t="shared" si="33"/>
        <v>0.49</v>
      </c>
      <c r="AT54" s="159" t="str">
        <f t="shared" si="21"/>
        <v>Cost-Effective</v>
      </c>
      <c r="AU54" s="167">
        <f t="shared" si="34"/>
        <v>0.35</v>
      </c>
      <c r="AV54" s="162" t="str">
        <f t="shared" si="22"/>
        <v>Cost-Effective</v>
      </c>
      <c r="AW54" s="167">
        <f t="shared" si="35"/>
        <v>0.47754403164042214</v>
      </c>
      <c r="AX54" s="159" t="str">
        <f t="shared" si="23"/>
        <v>Cost-Effective</v>
      </c>
      <c r="AY54" s="167">
        <f t="shared" si="36"/>
        <v>0.12436758234088692</v>
      </c>
      <c r="AZ54" s="159" t="str">
        <f t="shared" si="24"/>
        <v>Cost-Effective</v>
      </c>
      <c r="BA54" s="167">
        <f t="shared" si="37"/>
        <v>0.36210120888612346</v>
      </c>
      <c r="BB54" s="159" t="str">
        <f t="shared" si="25"/>
        <v>Cost-Effective</v>
      </c>
      <c r="BC54" s="167">
        <f t="shared" si="38"/>
        <v>0.1457485743604334</v>
      </c>
      <c r="BD54" s="159" t="str">
        <f t="shared" si="26"/>
        <v>Cost-Effective</v>
      </c>
      <c r="BE54" s="162" t="s">
        <v>210</v>
      </c>
      <c r="BF54" s="162" t="s">
        <v>174</v>
      </c>
      <c r="BG54" s="168">
        <f t="shared" si="39"/>
        <v>0</v>
      </c>
      <c r="BH54" s="168">
        <f t="shared" si="40"/>
        <v>0</v>
      </c>
      <c r="BI54" s="163">
        <f t="shared" si="41"/>
        <v>0</v>
      </c>
      <c r="BJ54" s="163">
        <f t="shared" si="42"/>
        <v>0</v>
      </c>
      <c r="BK54" s="163">
        <f t="shared" si="27"/>
        <v>0</v>
      </c>
      <c r="BL54" s="163">
        <f t="shared" si="28"/>
        <v>0</v>
      </c>
      <c r="BM54" s="163">
        <f t="shared" si="29"/>
        <v>0</v>
      </c>
      <c r="BN54" s="163" t="s">
        <v>148</v>
      </c>
      <c r="BO54" s="162" t="s">
        <v>317</v>
      </c>
      <c r="BP54" s="162" t="s">
        <v>1406</v>
      </c>
      <c r="BQ54" s="162" t="s">
        <v>1426</v>
      </c>
      <c r="BR54" s="162" t="s">
        <v>315</v>
      </c>
    </row>
    <row r="55" spans="1:70">
      <c r="A55" s="159">
        <f t="shared" si="17"/>
        <v>16</v>
      </c>
      <c r="B55" s="159">
        <f t="shared" si="18"/>
        <v>3</v>
      </c>
      <c r="C55" s="160" t="str">
        <f t="shared" si="0"/>
        <v>1603</v>
      </c>
      <c r="D55" s="159" t="s">
        <v>305</v>
      </c>
      <c r="E55" s="161">
        <v>2017</v>
      </c>
      <c r="F55" s="162" t="s">
        <v>306</v>
      </c>
      <c r="G55" s="162" t="s">
        <v>307</v>
      </c>
      <c r="H55" s="163" t="str">
        <f t="shared" si="43"/>
        <v>UM</v>
      </c>
      <c r="I55" s="163" t="s">
        <v>148</v>
      </c>
      <c r="J55" s="162" t="s">
        <v>185</v>
      </c>
      <c r="K55" s="163" t="s">
        <v>186</v>
      </c>
      <c r="L55" s="163" t="s">
        <v>151</v>
      </c>
      <c r="M55" s="163" t="str">
        <f t="shared" si="19"/>
        <v>PCV13 vs NoVax</v>
      </c>
      <c r="N55" s="159" t="s">
        <v>308</v>
      </c>
      <c r="O55" s="159">
        <v>3</v>
      </c>
      <c r="P55" s="162" t="s">
        <v>157</v>
      </c>
      <c r="Q55" s="162" t="s">
        <v>153</v>
      </c>
      <c r="R55" s="162" t="s">
        <v>154</v>
      </c>
      <c r="S55" s="162" t="s">
        <v>155</v>
      </c>
      <c r="T55" s="159">
        <v>2014</v>
      </c>
      <c r="U55" s="165">
        <v>3.3</v>
      </c>
      <c r="V55" s="165">
        <f>IF(ISNUMBER(U55),U55/VLOOKUP($S55,xRates!$A$1:$AA$267,data!$T55-xRates!$B$1+2,FALSE),U55)</f>
        <v>3.3</v>
      </c>
      <c r="W55" s="162" t="s">
        <v>309</v>
      </c>
      <c r="Y55" s="165"/>
      <c r="AA55" s="163" t="s">
        <v>157</v>
      </c>
      <c r="AB55" s="162"/>
      <c r="AD55" s="163" t="s">
        <v>157</v>
      </c>
      <c r="AE55" s="162" t="str">
        <f t="shared" ref="AE55:AE71" si="47">IF(AD55="No", "", "")</f>
        <v/>
      </c>
      <c r="AF55" s="163" t="s">
        <v>148</v>
      </c>
      <c r="AG55" s="163" t="s">
        <v>148</v>
      </c>
      <c r="AH55" s="163" t="s">
        <v>148</v>
      </c>
      <c r="AJ55" s="162" t="s">
        <v>171</v>
      </c>
      <c r="AK55" s="162" t="s">
        <v>318</v>
      </c>
      <c r="AL55" s="163" t="s">
        <v>247</v>
      </c>
      <c r="AM55" s="179">
        <v>19</v>
      </c>
      <c r="AN55" s="179">
        <v>19</v>
      </c>
      <c r="AO55" s="179">
        <f t="shared" si="44"/>
        <v>4158.521471</v>
      </c>
      <c r="AP55" s="163" t="str">
        <f t="shared" si="32"/>
        <v>Cost-Effective</v>
      </c>
      <c r="AQ55" s="163" t="str">
        <f t="shared" si="20"/>
        <v>Cost-Effective</v>
      </c>
      <c r="AR55" s="167">
        <f t="shared" si="5"/>
        <v>4.5689315619743733E-3</v>
      </c>
      <c r="AS55" s="167">
        <f t="shared" si="33"/>
        <v>0.49</v>
      </c>
      <c r="AT55" s="159" t="str">
        <f t="shared" si="21"/>
        <v>Cost-Effective</v>
      </c>
      <c r="AU55" s="167">
        <f t="shared" si="34"/>
        <v>0.35</v>
      </c>
      <c r="AV55" s="162" t="str">
        <f t="shared" si="22"/>
        <v>Cost-Effective</v>
      </c>
      <c r="AW55" s="167">
        <f t="shared" si="35"/>
        <v>0.47754403164042214</v>
      </c>
      <c r="AX55" s="159" t="str">
        <f t="shared" si="23"/>
        <v>Cost-Effective</v>
      </c>
      <c r="AY55" s="167">
        <f t="shared" si="36"/>
        <v>0.12436758234088692</v>
      </c>
      <c r="AZ55" s="159" t="str">
        <f t="shared" si="24"/>
        <v>Cost-Effective</v>
      </c>
      <c r="BA55" s="167">
        <f t="shared" si="37"/>
        <v>0.36210120888612346</v>
      </c>
      <c r="BB55" s="159" t="str">
        <f t="shared" si="25"/>
        <v>Cost-Effective</v>
      </c>
      <c r="BC55" s="167">
        <f t="shared" si="38"/>
        <v>0.1457485743604334</v>
      </c>
      <c r="BD55" s="159" t="str">
        <f t="shared" si="26"/>
        <v>Cost-Effective</v>
      </c>
      <c r="BE55" s="162" t="s">
        <v>210</v>
      </c>
      <c r="BF55" s="162" t="s">
        <v>174</v>
      </c>
      <c r="BG55" s="168">
        <f t="shared" si="39"/>
        <v>0</v>
      </c>
      <c r="BH55" s="168">
        <f t="shared" si="40"/>
        <v>0</v>
      </c>
      <c r="BI55" s="163">
        <f t="shared" si="41"/>
        <v>0</v>
      </c>
      <c r="BJ55" s="163">
        <f t="shared" si="42"/>
        <v>0</v>
      </c>
      <c r="BK55" s="163">
        <f t="shared" si="27"/>
        <v>0</v>
      </c>
      <c r="BL55" s="163">
        <f t="shared" si="28"/>
        <v>0</v>
      </c>
      <c r="BM55" s="163">
        <f t="shared" si="29"/>
        <v>0</v>
      </c>
      <c r="BN55" s="163" t="s">
        <v>148</v>
      </c>
      <c r="BP55" s="162" t="s">
        <v>1406</v>
      </c>
      <c r="BQ55" s="162" t="s">
        <v>1426</v>
      </c>
      <c r="BR55" s="162" t="s">
        <v>315</v>
      </c>
    </row>
    <row r="56" spans="1:70">
      <c r="A56" s="159">
        <f t="shared" si="17"/>
        <v>16</v>
      </c>
      <c r="B56" s="159">
        <f t="shared" si="18"/>
        <v>4</v>
      </c>
      <c r="C56" s="160" t="str">
        <f t="shared" si="0"/>
        <v>1604</v>
      </c>
      <c r="D56" s="159" t="s">
        <v>305</v>
      </c>
      <c r="E56" s="161">
        <v>2017</v>
      </c>
      <c r="F56" s="162" t="s">
        <v>306</v>
      </c>
      <c r="G56" s="162" t="s">
        <v>307</v>
      </c>
      <c r="H56" s="163" t="str">
        <f t="shared" si="43"/>
        <v>UM</v>
      </c>
      <c r="I56" s="163" t="s">
        <v>148</v>
      </c>
      <c r="J56" s="162" t="s">
        <v>185</v>
      </c>
      <c r="K56" s="163" t="s">
        <v>186</v>
      </c>
      <c r="L56" s="163" t="s">
        <v>151</v>
      </c>
      <c r="M56" s="163" t="str">
        <f t="shared" si="19"/>
        <v>PCV13 vs NoVax</v>
      </c>
      <c r="N56" s="159" t="s">
        <v>308</v>
      </c>
      <c r="O56" s="159">
        <v>3</v>
      </c>
      <c r="P56" s="162" t="s">
        <v>157</v>
      </c>
      <c r="Q56" s="162" t="s">
        <v>167</v>
      </c>
      <c r="R56" s="162" t="s">
        <v>154</v>
      </c>
      <c r="S56" s="162" t="s">
        <v>155</v>
      </c>
      <c r="T56" s="159">
        <v>2014</v>
      </c>
      <c r="U56" s="165">
        <v>3.3</v>
      </c>
      <c r="V56" s="165">
        <f>IF(ISNUMBER(U56),U56/VLOOKUP($S56,xRates!$A$1:$AA$267,data!$T56-xRates!$B$1+2,FALSE),U56)</f>
        <v>3.3</v>
      </c>
      <c r="W56" s="162" t="s">
        <v>309</v>
      </c>
      <c r="Y56" s="165"/>
      <c r="AA56" s="163" t="s">
        <v>157</v>
      </c>
      <c r="AB56" s="162"/>
      <c r="AD56" s="163" t="s">
        <v>157</v>
      </c>
      <c r="AE56" s="162" t="str">
        <f t="shared" si="47"/>
        <v/>
      </c>
      <c r="AF56" s="163" t="s">
        <v>148</v>
      </c>
      <c r="AG56" s="163" t="s">
        <v>148</v>
      </c>
      <c r="AH56" s="163" t="s">
        <v>148</v>
      </c>
      <c r="AJ56" s="162" t="s">
        <v>171</v>
      </c>
      <c r="AK56" s="162" t="s">
        <v>319</v>
      </c>
      <c r="AL56" s="163" t="s">
        <v>247</v>
      </c>
      <c r="AM56" s="179">
        <v>79</v>
      </c>
      <c r="AN56" s="179">
        <v>79</v>
      </c>
      <c r="AO56" s="179">
        <f t="shared" si="44"/>
        <v>4158.521471</v>
      </c>
      <c r="AP56" s="163" t="str">
        <f t="shared" si="32"/>
        <v>Cost-Effective</v>
      </c>
      <c r="AQ56" s="163" t="str">
        <f>IF(AN56="NA", ".", IF(AN56&lt;0,"Cost-Saving",IF(AN56&lt;=AO56*3,"Cost-Effective",IF(AN56&gt;AO56*3&amp;AN56&lt;&gt;"NA","Not Cost-Effective","Missing"))))</f>
        <v>Cost-Effective</v>
      </c>
      <c r="AR56" s="167">
        <f t="shared" si="5"/>
        <v>1.8997136494525026E-2</v>
      </c>
      <c r="AS56" s="167">
        <f t="shared" si="33"/>
        <v>0.49</v>
      </c>
      <c r="AT56" s="159" t="str">
        <f t="shared" si="21"/>
        <v>Cost-Effective</v>
      </c>
      <c r="AU56" s="167">
        <f t="shared" si="34"/>
        <v>0.35</v>
      </c>
      <c r="AV56" s="162" t="str">
        <f t="shared" si="22"/>
        <v>Cost-Effective</v>
      </c>
      <c r="AW56" s="167">
        <f t="shared" si="35"/>
        <v>0.47754403164042214</v>
      </c>
      <c r="AX56" s="159" t="str">
        <f t="shared" si="23"/>
        <v>Cost-Effective</v>
      </c>
      <c r="AY56" s="167">
        <f t="shared" si="36"/>
        <v>0.12436758234088692</v>
      </c>
      <c r="AZ56" s="159" t="str">
        <f t="shared" si="24"/>
        <v>Cost-Effective</v>
      </c>
      <c r="BA56" s="167">
        <f t="shared" si="37"/>
        <v>0.36210120888612346</v>
      </c>
      <c r="BB56" s="159" t="str">
        <f t="shared" si="25"/>
        <v>Cost-Effective</v>
      </c>
      <c r="BC56" s="167">
        <f t="shared" si="38"/>
        <v>0.1457485743604334</v>
      </c>
      <c r="BD56" s="159" t="str">
        <f t="shared" si="26"/>
        <v>Cost-Effective</v>
      </c>
      <c r="BE56" s="162" t="s">
        <v>210</v>
      </c>
      <c r="BF56" s="162" t="s">
        <v>174</v>
      </c>
      <c r="BG56" s="168">
        <f t="shared" si="39"/>
        <v>0</v>
      </c>
      <c r="BH56" s="168">
        <f t="shared" si="40"/>
        <v>0</v>
      </c>
      <c r="BI56" s="163">
        <f t="shared" si="41"/>
        <v>0</v>
      </c>
      <c r="BJ56" s="163">
        <f t="shared" si="42"/>
        <v>0</v>
      </c>
      <c r="BK56" s="163">
        <f t="shared" si="27"/>
        <v>0</v>
      </c>
      <c r="BL56" s="163">
        <f t="shared" si="28"/>
        <v>0</v>
      </c>
      <c r="BM56" s="163">
        <f t="shared" si="29"/>
        <v>0</v>
      </c>
      <c r="BN56" s="163" t="s">
        <v>148</v>
      </c>
      <c r="BP56" s="162" t="s">
        <v>1406</v>
      </c>
      <c r="BQ56" s="162" t="s">
        <v>1426</v>
      </c>
      <c r="BR56" s="162" t="s">
        <v>315</v>
      </c>
    </row>
    <row r="57" spans="1:70">
      <c r="A57" s="159">
        <f t="shared" si="17"/>
        <v>17</v>
      </c>
      <c r="B57" s="159">
        <f t="shared" si="18"/>
        <v>1</v>
      </c>
      <c r="C57" s="160" t="str">
        <f t="shared" si="0"/>
        <v>1701</v>
      </c>
      <c r="D57" s="159" t="s">
        <v>320</v>
      </c>
      <c r="E57" s="161">
        <v>2018</v>
      </c>
      <c r="F57" s="162" t="s">
        <v>321</v>
      </c>
      <c r="G57" s="162" t="s">
        <v>322</v>
      </c>
      <c r="H57" s="163" t="str">
        <f t="shared" si="43"/>
        <v>LM</v>
      </c>
      <c r="I57" s="163" t="s">
        <v>148</v>
      </c>
      <c r="J57" s="162" t="s">
        <v>182</v>
      </c>
      <c r="K57" s="163" t="s">
        <v>183</v>
      </c>
      <c r="L57" s="163" t="s">
        <v>151</v>
      </c>
      <c r="M57" s="163" t="str">
        <f t="shared" si="19"/>
        <v>PCV10 vs NoVax</v>
      </c>
      <c r="N57" s="159" t="s">
        <v>152</v>
      </c>
      <c r="O57" s="159">
        <v>3</v>
      </c>
      <c r="P57" s="162" t="s">
        <v>148</v>
      </c>
      <c r="Q57" s="162" t="s">
        <v>167</v>
      </c>
      <c r="R57" s="162" t="s">
        <v>154</v>
      </c>
      <c r="S57" s="162" t="s">
        <v>155</v>
      </c>
      <c r="T57" s="159">
        <v>2017</v>
      </c>
      <c r="U57" s="165">
        <v>3.05</v>
      </c>
      <c r="V57" s="165">
        <f>IF(ISNUMBER(U57),U57/VLOOKUP($S57,xRates!$A$1:$AA$267,data!$T57-xRates!$B$1+2,FALSE),U57)</f>
        <v>3.05</v>
      </c>
      <c r="W57" s="162" t="s">
        <v>323</v>
      </c>
      <c r="Y57" s="165"/>
      <c r="AA57" s="163" t="s">
        <v>148</v>
      </c>
      <c r="AB57" s="162" t="s">
        <v>217</v>
      </c>
      <c r="AC57" s="162" t="s">
        <v>157</v>
      </c>
      <c r="AD57" s="163" t="s">
        <v>157</v>
      </c>
      <c r="AE57" s="162" t="str">
        <f t="shared" si="47"/>
        <v/>
      </c>
      <c r="AF57" s="163" t="s">
        <v>148</v>
      </c>
      <c r="AG57" s="163" t="s">
        <v>148</v>
      </c>
      <c r="AH57" s="163" t="s">
        <v>148</v>
      </c>
      <c r="AJ57" s="162"/>
      <c r="AK57" s="162" t="s">
        <v>324</v>
      </c>
      <c r="AL57" s="163" t="s">
        <v>159</v>
      </c>
      <c r="AM57" s="179">
        <v>36</v>
      </c>
      <c r="AN57" s="179">
        <v>36</v>
      </c>
      <c r="AO57" s="179">
        <f t="shared" si="44"/>
        <v>3286.5967439999999</v>
      </c>
      <c r="AP57" s="163" t="str">
        <f t="shared" si="32"/>
        <v>Cost-Effective</v>
      </c>
      <c r="AQ57" s="163" t="str">
        <f t="shared" si="20"/>
        <v>Cost-Effective</v>
      </c>
      <c r="AR57" s="167">
        <f t="shared" si="5"/>
        <v>1.0953579889507735E-2</v>
      </c>
      <c r="AS57" s="167" t="str">
        <f t="shared" si="33"/>
        <v>.</v>
      </c>
      <c r="AT57" s="159" t="str">
        <f t="shared" si="21"/>
        <v>.</v>
      </c>
      <c r="AU57" s="167" t="str">
        <f t="shared" si="34"/>
        <v>.</v>
      </c>
      <c r="AV57" s="162" t="str">
        <f t="shared" si="22"/>
        <v>.</v>
      </c>
      <c r="AW57" s="167">
        <f t="shared" si="35"/>
        <v>0.50875051837814589</v>
      </c>
      <c r="AX57" s="159" t="str">
        <f t="shared" si="23"/>
        <v>Cost-Effective</v>
      </c>
      <c r="AY57" s="167">
        <f t="shared" si="36"/>
        <v>0.10797805119790538</v>
      </c>
      <c r="AZ57" s="159" t="str">
        <f t="shared" si="24"/>
        <v>Cost-Effective</v>
      </c>
      <c r="BA57" s="167">
        <f t="shared" si="37"/>
        <v>0.3421747714018003</v>
      </c>
      <c r="BB57" s="159" t="str">
        <f t="shared" si="25"/>
        <v>Cost-Effective</v>
      </c>
      <c r="BC57" s="167">
        <f t="shared" si="38"/>
        <v>0.13783293342306466</v>
      </c>
      <c r="BD57" s="159" t="str">
        <f t="shared" si="26"/>
        <v>Cost-Effective</v>
      </c>
      <c r="BE57" s="162" t="s">
        <v>210</v>
      </c>
      <c r="BF57" s="162" t="s">
        <v>174</v>
      </c>
      <c r="BG57" s="168">
        <f t="shared" si="39"/>
        <v>0</v>
      </c>
      <c r="BH57" s="168">
        <f t="shared" si="40"/>
        <v>0</v>
      </c>
      <c r="BI57" s="163">
        <f t="shared" si="41"/>
        <v>0</v>
      </c>
      <c r="BJ57" s="163">
        <f t="shared" si="42"/>
        <v>0</v>
      </c>
      <c r="BK57" s="163">
        <f t="shared" si="27"/>
        <v>0</v>
      </c>
      <c r="BL57" s="163">
        <f t="shared" si="28"/>
        <v>0</v>
      </c>
      <c r="BM57" s="163">
        <f t="shared" si="29"/>
        <v>0</v>
      </c>
      <c r="BN57" s="163" t="s">
        <v>148</v>
      </c>
      <c r="BO57" s="162" t="s">
        <v>325</v>
      </c>
      <c r="BP57" s="162" t="s">
        <v>1406</v>
      </c>
      <c r="BQ57" s="162" t="s">
        <v>1426</v>
      </c>
    </row>
    <row r="58" spans="1:70">
      <c r="A58" s="159">
        <f t="shared" si="17"/>
        <v>17</v>
      </c>
      <c r="B58" s="159">
        <f t="shared" si="18"/>
        <v>2</v>
      </c>
      <c r="C58" s="160" t="str">
        <f t="shared" si="0"/>
        <v>1702</v>
      </c>
      <c r="D58" s="159" t="s">
        <v>320</v>
      </c>
      <c r="E58" s="161">
        <v>2018</v>
      </c>
      <c r="F58" s="162" t="s">
        <v>321</v>
      </c>
      <c r="G58" s="162" t="s">
        <v>322</v>
      </c>
      <c r="H58" s="163" t="str">
        <f t="shared" si="43"/>
        <v>LM</v>
      </c>
      <c r="I58" s="163" t="s">
        <v>148</v>
      </c>
      <c r="J58" s="162" t="s">
        <v>185</v>
      </c>
      <c r="K58" s="163" t="s">
        <v>186</v>
      </c>
      <c r="L58" s="163" t="s">
        <v>151</v>
      </c>
      <c r="M58" s="163" t="str">
        <f t="shared" si="19"/>
        <v>PCV13 vs NoVax</v>
      </c>
      <c r="N58" s="159" t="s">
        <v>152</v>
      </c>
      <c r="O58" s="159">
        <v>3</v>
      </c>
      <c r="P58" s="162" t="s">
        <v>148</v>
      </c>
      <c r="Q58" s="162" t="s">
        <v>167</v>
      </c>
      <c r="R58" s="162" t="s">
        <v>154</v>
      </c>
      <c r="S58" s="162" t="s">
        <v>155</v>
      </c>
      <c r="T58" s="159">
        <v>2017</v>
      </c>
      <c r="U58" s="165">
        <v>3.55</v>
      </c>
      <c r="V58" s="165">
        <f>IF(ISNUMBER(U58),U58/VLOOKUP($S58,xRates!$A$1:$AA$267,data!$T58-xRates!$B$1+2,FALSE),U58)</f>
        <v>3.55</v>
      </c>
      <c r="W58" s="162" t="s">
        <v>323</v>
      </c>
      <c r="Y58" s="165"/>
      <c r="AA58" s="163" t="s">
        <v>148</v>
      </c>
      <c r="AB58" s="162" t="s">
        <v>217</v>
      </c>
      <c r="AC58" s="162" t="s">
        <v>157</v>
      </c>
      <c r="AD58" s="163" t="s">
        <v>157</v>
      </c>
      <c r="AE58" s="162" t="str">
        <f t="shared" si="47"/>
        <v/>
      </c>
      <c r="AF58" s="163" t="s">
        <v>148</v>
      </c>
      <c r="AG58" s="163" t="s">
        <v>148</v>
      </c>
      <c r="AH58" s="163" t="s">
        <v>148</v>
      </c>
      <c r="AJ58" s="162"/>
      <c r="AK58" s="162" t="s">
        <v>326</v>
      </c>
      <c r="AL58" s="163" t="s">
        <v>159</v>
      </c>
      <c r="AM58" s="179">
        <v>40</v>
      </c>
      <c r="AN58" s="179">
        <v>40</v>
      </c>
      <c r="AO58" s="179">
        <f t="shared" si="44"/>
        <v>3286.5967439999999</v>
      </c>
      <c r="AP58" s="163" t="str">
        <f t="shared" si="32"/>
        <v>Cost-Effective</v>
      </c>
      <c r="AQ58" s="163" t="str">
        <f t="shared" si="20"/>
        <v>Cost-Effective</v>
      </c>
      <c r="AR58" s="167">
        <f t="shared" si="5"/>
        <v>1.2170644321675261E-2</v>
      </c>
      <c r="AS58" s="167" t="str">
        <f t="shared" si="33"/>
        <v>.</v>
      </c>
      <c r="AT58" s="159" t="str">
        <f t="shared" si="21"/>
        <v>.</v>
      </c>
      <c r="AU58" s="167" t="str">
        <f t="shared" si="34"/>
        <v>.</v>
      </c>
      <c r="AV58" s="162" t="str">
        <f t="shared" si="22"/>
        <v>.</v>
      </c>
      <c r="AW58" s="167">
        <f t="shared" si="35"/>
        <v>0.50875051837814589</v>
      </c>
      <c r="AX58" s="159" t="str">
        <f t="shared" si="23"/>
        <v>Cost-Effective</v>
      </c>
      <c r="AY58" s="167">
        <f t="shared" si="36"/>
        <v>0.10797805119790538</v>
      </c>
      <c r="AZ58" s="159" t="str">
        <f t="shared" si="24"/>
        <v>Cost-Effective</v>
      </c>
      <c r="BA58" s="167">
        <f t="shared" si="37"/>
        <v>0.3421747714018003</v>
      </c>
      <c r="BB58" s="159" t="str">
        <f t="shared" si="25"/>
        <v>Cost-Effective</v>
      </c>
      <c r="BC58" s="167">
        <f t="shared" si="38"/>
        <v>0.13783293342306466</v>
      </c>
      <c r="BD58" s="159" t="str">
        <f t="shared" si="26"/>
        <v>Cost-Effective</v>
      </c>
      <c r="BE58" s="162" t="s">
        <v>210</v>
      </c>
      <c r="BF58" s="162" t="s">
        <v>174</v>
      </c>
      <c r="BG58" s="168">
        <f t="shared" si="39"/>
        <v>0</v>
      </c>
      <c r="BH58" s="168">
        <f t="shared" si="40"/>
        <v>0</v>
      </c>
      <c r="BI58" s="163">
        <f t="shared" si="41"/>
        <v>0</v>
      </c>
      <c r="BJ58" s="163">
        <f t="shared" si="42"/>
        <v>0</v>
      </c>
      <c r="BK58" s="163">
        <f t="shared" si="27"/>
        <v>0</v>
      </c>
      <c r="BL58" s="163">
        <f t="shared" si="28"/>
        <v>0</v>
      </c>
      <c r="BM58" s="163">
        <f t="shared" si="29"/>
        <v>0</v>
      </c>
      <c r="BN58" s="163" t="s">
        <v>148</v>
      </c>
      <c r="BO58" s="162" t="s">
        <v>327</v>
      </c>
      <c r="BP58" s="162" t="s">
        <v>1406</v>
      </c>
      <c r="BQ58" s="162" t="s">
        <v>1426</v>
      </c>
    </row>
    <row r="59" spans="1:70">
      <c r="A59" s="159">
        <f t="shared" si="17"/>
        <v>17</v>
      </c>
      <c r="B59" s="159">
        <f t="shared" si="18"/>
        <v>3</v>
      </c>
      <c r="C59" s="160" t="str">
        <f t="shared" si="0"/>
        <v>1703</v>
      </c>
      <c r="D59" s="159" t="s">
        <v>320</v>
      </c>
      <c r="E59" s="161">
        <v>2018</v>
      </c>
      <c r="F59" s="162" t="s">
        <v>321</v>
      </c>
      <c r="G59" s="162" t="s">
        <v>322</v>
      </c>
      <c r="H59" s="163" t="str">
        <f t="shared" si="43"/>
        <v>LM</v>
      </c>
      <c r="I59" s="163" t="s">
        <v>148</v>
      </c>
      <c r="J59" s="162" t="s">
        <v>237</v>
      </c>
      <c r="K59" s="163" t="s">
        <v>186</v>
      </c>
      <c r="L59" s="163" t="s">
        <v>183</v>
      </c>
      <c r="M59" s="163" t="str">
        <f t="shared" si="19"/>
        <v>PCV13 vs PCV10</v>
      </c>
      <c r="N59" s="159" t="s">
        <v>152</v>
      </c>
      <c r="O59" s="159">
        <v>3</v>
      </c>
      <c r="P59" s="162" t="s">
        <v>148</v>
      </c>
      <c r="Q59" s="162" t="s">
        <v>167</v>
      </c>
      <c r="R59" s="162" t="s">
        <v>154</v>
      </c>
      <c r="S59" s="162" t="s">
        <v>155</v>
      </c>
      <c r="T59" s="159">
        <v>2017</v>
      </c>
      <c r="U59" s="165">
        <v>3.55</v>
      </c>
      <c r="V59" s="165">
        <f>IF(ISNUMBER(U59),U59/VLOOKUP($S59,xRates!$A$1:$AA$267,data!$T59-xRates!$B$1+2,FALSE),U59)</f>
        <v>3.55</v>
      </c>
      <c r="W59" s="162" t="s">
        <v>323</v>
      </c>
      <c r="X59" s="159">
        <v>3.05</v>
      </c>
      <c r="Y59" s="165">
        <v>3.05</v>
      </c>
      <c r="Z59" s="162" t="s">
        <v>323</v>
      </c>
      <c r="AA59" s="163" t="s">
        <v>148</v>
      </c>
      <c r="AB59" s="162" t="s">
        <v>217</v>
      </c>
      <c r="AC59" s="162" t="s">
        <v>157</v>
      </c>
      <c r="AD59" s="163" t="s">
        <v>157</v>
      </c>
      <c r="AE59" s="162" t="str">
        <f t="shared" si="47"/>
        <v/>
      </c>
      <c r="AF59" s="163" t="s">
        <v>148</v>
      </c>
      <c r="AG59" s="163" t="s">
        <v>148</v>
      </c>
      <c r="AH59" s="163" t="s">
        <v>148</v>
      </c>
      <c r="AJ59" s="162"/>
      <c r="AK59" s="162" t="s">
        <v>328</v>
      </c>
      <c r="AL59" s="163" t="s">
        <v>159</v>
      </c>
      <c r="AM59" s="179">
        <v>92</v>
      </c>
      <c r="AN59" s="179">
        <v>92</v>
      </c>
      <c r="AO59" s="179">
        <f t="shared" si="44"/>
        <v>3286.5967439999999</v>
      </c>
      <c r="AP59" s="163" t="str">
        <f t="shared" si="32"/>
        <v>Cost-Effective</v>
      </c>
      <c r="AQ59" s="163" t="str">
        <f t="shared" si="20"/>
        <v>Cost-Effective</v>
      </c>
      <c r="AR59" s="167">
        <f t="shared" si="5"/>
        <v>2.7992481939853101E-2</v>
      </c>
      <c r="AS59" s="167" t="str">
        <f t="shared" si="33"/>
        <v>.</v>
      </c>
      <c r="AT59" s="159" t="str">
        <f t="shared" si="21"/>
        <v>.</v>
      </c>
      <c r="AU59" s="167" t="str">
        <f t="shared" si="34"/>
        <v>.</v>
      </c>
      <c r="AV59" s="162" t="str">
        <f t="shared" si="22"/>
        <v>.</v>
      </c>
      <c r="AW59" s="167">
        <f t="shared" si="35"/>
        <v>0.50875051837814589</v>
      </c>
      <c r="AX59" s="159" t="str">
        <f t="shared" si="23"/>
        <v>Cost-Effective</v>
      </c>
      <c r="AY59" s="167">
        <f t="shared" si="36"/>
        <v>0.10797805119790538</v>
      </c>
      <c r="AZ59" s="159" t="str">
        <f t="shared" si="24"/>
        <v>Cost-Effective</v>
      </c>
      <c r="BA59" s="167">
        <f t="shared" si="37"/>
        <v>0.3421747714018003</v>
      </c>
      <c r="BB59" s="159" t="str">
        <f t="shared" si="25"/>
        <v>Cost-Effective</v>
      </c>
      <c r="BC59" s="167">
        <f t="shared" si="38"/>
        <v>0.13783293342306466</v>
      </c>
      <c r="BD59" s="159" t="str">
        <f t="shared" si="26"/>
        <v>Cost-Effective</v>
      </c>
      <c r="BE59" s="162" t="s">
        <v>210</v>
      </c>
      <c r="BF59" s="162" t="s">
        <v>174</v>
      </c>
      <c r="BG59" s="168">
        <f t="shared" si="39"/>
        <v>0</v>
      </c>
      <c r="BH59" s="168">
        <f t="shared" si="40"/>
        <v>0</v>
      </c>
      <c r="BI59" s="163">
        <f t="shared" si="41"/>
        <v>0</v>
      </c>
      <c r="BJ59" s="163">
        <f t="shared" si="42"/>
        <v>0</v>
      </c>
      <c r="BK59" s="163">
        <f t="shared" si="27"/>
        <v>0</v>
      </c>
      <c r="BL59" s="163">
        <f t="shared" si="28"/>
        <v>0</v>
      </c>
      <c r="BM59" s="163">
        <f t="shared" si="29"/>
        <v>0</v>
      </c>
      <c r="BN59" s="163" t="s">
        <v>148</v>
      </c>
      <c r="BO59" s="162" t="str">
        <f t="shared" ref="BO59:BO80" si="48">IF(BN59="No", "", "")</f>
        <v/>
      </c>
      <c r="BP59" s="162" t="s">
        <v>1406</v>
      </c>
      <c r="BQ59" s="162" t="s">
        <v>1426</v>
      </c>
    </row>
    <row r="60" spans="1:70">
      <c r="A60" s="159">
        <f t="shared" si="17"/>
        <v>18</v>
      </c>
      <c r="B60" s="159">
        <f t="shared" si="18"/>
        <v>1</v>
      </c>
      <c r="C60" s="160" t="str">
        <f t="shared" si="0"/>
        <v>1801</v>
      </c>
      <c r="D60" s="159" t="s">
        <v>66</v>
      </c>
      <c r="E60" s="161">
        <v>2008</v>
      </c>
      <c r="F60" s="162" t="s">
        <v>329</v>
      </c>
      <c r="G60" s="162" t="s">
        <v>330</v>
      </c>
      <c r="H60" s="163" t="str">
        <f t="shared" si="43"/>
        <v>LM</v>
      </c>
      <c r="I60" s="163" t="s">
        <v>157</v>
      </c>
      <c r="J60" s="180" t="s">
        <v>149</v>
      </c>
      <c r="K60" s="163" t="s">
        <v>150</v>
      </c>
      <c r="L60" s="163" t="s">
        <v>151</v>
      </c>
      <c r="M60" s="163" t="str">
        <f t="shared" si="19"/>
        <v>PCV7 vs NoVax</v>
      </c>
      <c r="N60" s="159" t="s">
        <v>331</v>
      </c>
      <c r="O60" s="159">
        <v>3</v>
      </c>
      <c r="P60" s="162" t="s">
        <v>148</v>
      </c>
      <c r="Q60" s="162" t="s">
        <v>153</v>
      </c>
      <c r="R60" s="162" t="s">
        <v>154</v>
      </c>
      <c r="S60" s="162" t="s">
        <v>155</v>
      </c>
      <c r="T60" s="159">
        <v>2004</v>
      </c>
      <c r="U60" s="165">
        <v>53</v>
      </c>
      <c r="V60" s="165">
        <f>IF(ISNUMBER(U60),U60/VLOOKUP($S60,xRates!$A$1:$AA$267,data!$T60-xRates!$B$1+2,FALSE),U60)</f>
        <v>53</v>
      </c>
      <c r="W60" s="162" t="s">
        <v>332</v>
      </c>
      <c r="Y60" s="165"/>
      <c r="AA60" s="163" t="s">
        <v>157</v>
      </c>
      <c r="AB60" s="162"/>
      <c r="AD60" s="163" t="s">
        <v>157</v>
      </c>
      <c r="AE60" s="162" t="str">
        <f t="shared" si="47"/>
        <v/>
      </c>
      <c r="AF60" s="163" t="s">
        <v>148</v>
      </c>
      <c r="AG60" s="163" t="s">
        <v>148</v>
      </c>
      <c r="AH60" s="163" t="s">
        <v>148</v>
      </c>
      <c r="AJ60" s="162"/>
      <c r="AK60" s="162" t="s">
        <v>333</v>
      </c>
      <c r="AL60" s="163" t="s">
        <v>247</v>
      </c>
      <c r="AM60" s="179">
        <v>664</v>
      </c>
      <c r="AN60" s="179">
        <v>664</v>
      </c>
      <c r="AO60" s="179">
        <f t="shared" si="44"/>
        <v>3637.3138899999999</v>
      </c>
      <c r="AP60" s="163" t="str">
        <f t="shared" si="32"/>
        <v>Cost-Effective</v>
      </c>
      <c r="AQ60" s="163" t="str">
        <f t="shared" si="20"/>
        <v>Cost-Effective</v>
      </c>
      <c r="AR60" s="167">
        <f t="shared" si="5"/>
        <v>0.1825522954797833</v>
      </c>
      <c r="AS60" s="167">
        <f t="shared" si="33"/>
        <v>1.0900000000000001</v>
      </c>
      <c r="AT60" s="159" t="str">
        <f t="shared" si="21"/>
        <v>Cost-Effective</v>
      </c>
      <c r="AU60" s="167">
        <f t="shared" si="34"/>
        <v>0.71</v>
      </c>
      <c r="AV60" s="162" t="str">
        <f t="shared" si="22"/>
        <v>Cost-Effective</v>
      </c>
      <c r="AW60" s="167">
        <f t="shared" si="35"/>
        <v>0.61331405073457201</v>
      </c>
      <c r="AX60" s="159" t="str">
        <f t="shared" si="23"/>
        <v>Cost-Effective</v>
      </c>
      <c r="AY60" s="167">
        <f t="shared" si="36"/>
        <v>0.19454672897770822</v>
      </c>
      <c r="AZ60" s="159" t="str">
        <f t="shared" si="24"/>
        <v>Cost-Effective</v>
      </c>
      <c r="BA60" s="167">
        <f t="shared" si="37"/>
        <v>1.6739433928535268</v>
      </c>
      <c r="BB60" s="159" t="str">
        <f t="shared" si="25"/>
        <v>Cost-Effective</v>
      </c>
      <c r="BC60" s="167">
        <f t="shared" si="38"/>
        <v>0.69378626051328196</v>
      </c>
      <c r="BD60" s="159" t="str">
        <f t="shared" si="26"/>
        <v>Cost-Effective</v>
      </c>
      <c r="BE60" s="162" t="s">
        <v>173</v>
      </c>
      <c r="BF60" s="162" t="s">
        <v>174</v>
      </c>
      <c r="BG60" s="168">
        <f t="shared" si="39"/>
        <v>0</v>
      </c>
      <c r="BH60" s="168">
        <f t="shared" si="40"/>
        <v>0</v>
      </c>
      <c r="BI60" s="163">
        <f t="shared" si="41"/>
        <v>0</v>
      </c>
      <c r="BJ60" s="163">
        <f t="shared" si="42"/>
        <v>0</v>
      </c>
      <c r="BK60" s="163">
        <f t="shared" si="27"/>
        <v>0</v>
      </c>
      <c r="BL60" s="163">
        <f t="shared" si="28"/>
        <v>0</v>
      </c>
      <c r="BM60" s="163">
        <f t="shared" si="29"/>
        <v>0</v>
      </c>
      <c r="BN60" s="163" t="s">
        <v>157</v>
      </c>
      <c r="BO60" s="162" t="str">
        <f t="shared" si="48"/>
        <v/>
      </c>
      <c r="BP60" s="162" t="s">
        <v>1407</v>
      </c>
      <c r="BQ60" s="162" t="s">
        <v>1426</v>
      </c>
    </row>
    <row r="61" spans="1:70">
      <c r="A61" s="159">
        <f t="shared" si="17"/>
        <v>18</v>
      </c>
      <c r="B61" s="159">
        <f t="shared" si="18"/>
        <v>2</v>
      </c>
      <c r="C61" s="160" t="str">
        <f t="shared" si="0"/>
        <v>1802</v>
      </c>
      <c r="D61" s="159" t="s">
        <v>66</v>
      </c>
      <c r="E61" s="161">
        <v>2008</v>
      </c>
      <c r="F61" s="162" t="s">
        <v>329</v>
      </c>
      <c r="G61" s="162" t="s">
        <v>334</v>
      </c>
      <c r="H61" s="163" t="str">
        <f t="shared" si="43"/>
        <v>UM</v>
      </c>
      <c r="I61" s="163" t="s">
        <v>157</v>
      </c>
      <c r="J61" s="180" t="s">
        <v>149</v>
      </c>
      <c r="K61" s="163" t="s">
        <v>150</v>
      </c>
      <c r="L61" s="163" t="s">
        <v>151</v>
      </c>
      <c r="M61" s="163" t="str">
        <f t="shared" si="19"/>
        <v>PCV7 vs NoVax</v>
      </c>
      <c r="N61" s="159" t="s">
        <v>331</v>
      </c>
      <c r="O61" s="159">
        <v>3</v>
      </c>
      <c r="P61" s="162" t="s">
        <v>148</v>
      </c>
      <c r="Q61" s="162" t="s">
        <v>153</v>
      </c>
      <c r="R61" s="162" t="s">
        <v>154</v>
      </c>
      <c r="S61" s="162" t="s">
        <v>155</v>
      </c>
      <c r="T61" s="159">
        <v>2004</v>
      </c>
      <c r="U61" s="165">
        <v>53</v>
      </c>
      <c r="V61" s="165">
        <f>IF(ISNUMBER(U61),U61/VLOOKUP($S61,xRates!$A$1:$AA$267,data!$T61-xRates!$B$1+2,FALSE),U61)</f>
        <v>53</v>
      </c>
      <c r="W61" s="162" t="s">
        <v>332</v>
      </c>
      <c r="Y61" s="165"/>
      <c r="AA61" s="163" t="s">
        <v>157</v>
      </c>
      <c r="AB61" s="162"/>
      <c r="AD61" s="163" t="s">
        <v>157</v>
      </c>
      <c r="AE61" s="162" t="str">
        <f t="shared" si="47"/>
        <v/>
      </c>
      <c r="AF61" s="163" t="s">
        <v>148</v>
      </c>
      <c r="AG61" s="163" t="s">
        <v>148</v>
      </c>
      <c r="AH61" s="163" t="s">
        <v>148</v>
      </c>
      <c r="AJ61" s="162"/>
      <c r="AK61" s="162" t="s">
        <v>335</v>
      </c>
      <c r="AL61" s="163" t="s">
        <v>247</v>
      </c>
      <c r="AM61" s="179">
        <v>1546</v>
      </c>
      <c r="AN61" s="179">
        <v>1546</v>
      </c>
      <c r="AO61" s="179">
        <f t="shared" si="44"/>
        <v>4120.5442050000001</v>
      </c>
      <c r="AP61" s="163" t="str">
        <f t="shared" si="32"/>
        <v>Cost-Effective</v>
      </c>
      <c r="AQ61" s="163" t="str">
        <f t="shared" si="20"/>
        <v>Cost-Effective</v>
      </c>
      <c r="AR61" s="167">
        <f t="shared" si="5"/>
        <v>0.37519315971032036</v>
      </c>
      <c r="AS61" s="167" t="str">
        <f t="shared" si="33"/>
        <v>.</v>
      </c>
      <c r="AT61" s="159" t="str">
        <f t="shared" si="21"/>
        <v>.</v>
      </c>
      <c r="AU61" s="167" t="str">
        <f t="shared" si="34"/>
        <v>.</v>
      </c>
      <c r="AV61" s="162" t="str">
        <f t="shared" si="22"/>
        <v>.</v>
      </c>
      <c r="AW61" s="167">
        <f t="shared" si="35"/>
        <v>0.59780757492583769</v>
      </c>
      <c r="AX61" s="159" t="str">
        <f t="shared" si="23"/>
        <v>Cost-Effective</v>
      </c>
      <c r="AY61" s="167">
        <f t="shared" si="36"/>
        <v>0.26794410670766822</v>
      </c>
      <c r="AZ61" s="159" t="str">
        <f t="shared" si="24"/>
        <v>Not Cost-Effective</v>
      </c>
      <c r="BA61" s="167">
        <f t="shared" si="37"/>
        <v>0.98970969835241007</v>
      </c>
      <c r="BB61" s="159" t="str">
        <f t="shared" si="25"/>
        <v>Cost-Effective</v>
      </c>
      <c r="BC61" s="167">
        <f t="shared" si="38"/>
        <v>0.67260232384888741</v>
      </c>
      <c r="BD61" s="159" t="str">
        <f t="shared" si="26"/>
        <v>Cost-Effective</v>
      </c>
      <c r="BE61" s="162" t="s">
        <v>173</v>
      </c>
      <c r="BF61" s="162" t="s">
        <v>174</v>
      </c>
      <c r="BG61" s="168">
        <f t="shared" si="39"/>
        <v>0</v>
      </c>
      <c r="BH61" s="168">
        <f t="shared" si="40"/>
        <v>0</v>
      </c>
      <c r="BI61" s="163">
        <f t="shared" si="41"/>
        <v>1</v>
      </c>
      <c r="BJ61" s="163">
        <f t="shared" si="42"/>
        <v>0</v>
      </c>
      <c r="BK61" s="163">
        <f t="shared" si="27"/>
        <v>0</v>
      </c>
      <c r="BL61" s="163">
        <f t="shared" si="28"/>
        <v>0</v>
      </c>
      <c r="BM61" s="163">
        <f t="shared" si="29"/>
        <v>1</v>
      </c>
      <c r="BN61" s="163" t="s">
        <v>157</v>
      </c>
      <c r="BO61" s="162" t="str">
        <f t="shared" si="48"/>
        <v/>
      </c>
      <c r="BP61" s="162" t="s">
        <v>1407</v>
      </c>
      <c r="BQ61" s="162" t="s">
        <v>1426</v>
      </c>
    </row>
    <row r="62" spans="1:70">
      <c r="A62" s="159">
        <f t="shared" si="17"/>
        <v>19</v>
      </c>
      <c r="B62" s="159">
        <f t="shared" si="18"/>
        <v>1</v>
      </c>
      <c r="C62" s="160" t="str">
        <f t="shared" si="0"/>
        <v>1901</v>
      </c>
      <c r="D62" s="159" t="s">
        <v>336</v>
      </c>
      <c r="E62" s="161">
        <v>2009</v>
      </c>
      <c r="F62" s="162" t="s">
        <v>337</v>
      </c>
      <c r="G62" s="162" t="s">
        <v>330</v>
      </c>
      <c r="H62" s="163" t="str">
        <f t="shared" si="43"/>
        <v>UM</v>
      </c>
      <c r="I62" s="163" t="s">
        <v>157</v>
      </c>
      <c r="J62" s="180" t="s">
        <v>149</v>
      </c>
      <c r="K62" s="163" t="s">
        <v>150</v>
      </c>
      <c r="L62" s="163" t="s">
        <v>151</v>
      </c>
      <c r="M62" s="163" t="str">
        <f t="shared" si="19"/>
        <v>PCV7 vs NoVax</v>
      </c>
      <c r="N62" s="159" t="s">
        <v>331</v>
      </c>
      <c r="O62" s="159">
        <v>3</v>
      </c>
      <c r="P62" s="162" t="s">
        <v>148</v>
      </c>
      <c r="Q62" s="162" t="s">
        <v>167</v>
      </c>
      <c r="R62" s="162" t="s">
        <v>338</v>
      </c>
      <c r="S62" s="162" t="s">
        <v>330</v>
      </c>
      <c r="T62" s="159">
        <v>2006</v>
      </c>
      <c r="U62" s="165">
        <v>51.12</v>
      </c>
      <c r="V62" s="165">
        <f>IF(ISNUMBER(U62),U62/VLOOKUP($S62,xRates!$A$1:$AA$267,data!$T62-xRates!$B$1+2,FALSE),U62)</f>
        <v>23.499918786143962</v>
      </c>
      <c r="W62" s="162" t="s">
        <v>332</v>
      </c>
      <c r="Y62" s="165"/>
      <c r="AA62" s="163" t="s">
        <v>157</v>
      </c>
      <c r="AB62" s="162"/>
      <c r="AD62" s="163" t="s">
        <v>157</v>
      </c>
      <c r="AE62" s="162" t="str">
        <f t="shared" si="47"/>
        <v/>
      </c>
      <c r="AF62" s="163" t="s">
        <v>148</v>
      </c>
      <c r="AG62" s="163" t="s">
        <v>148</v>
      </c>
      <c r="AH62" s="163" t="s">
        <v>148</v>
      </c>
      <c r="AJ62" s="162"/>
      <c r="AK62" s="162" t="s">
        <v>339</v>
      </c>
      <c r="AL62" s="163" t="s">
        <v>247</v>
      </c>
      <c r="AM62" s="179">
        <v>4516</v>
      </c>
      <c r="AN62" s="179">
        <f>AM62/xRates!$L$28</f>
        <v>2076.010039871403</v>
      </c>
      <c r="AO62" s="179">
        <f t="shared" si="44"/>
        <v>5886.3915219999999</v>
      </c>
      <c r="AP62" s="163" t="str">
        <f t="shared" si="32"/>
        <v>Cost-Effective</v>
      </c>
      <c r="AQ62" s="163" t="str">
        <f t="shared" si="20"/>
        <v>Cost-Effective</v>
      </c>
      <c r="AR62" s="167">
        <f t="shared" si="5"/>
        <v>0.35267957153588109</v>
      </c>
      <c r="AS62" s="167">
        <f t="shared" si="33"/>
        <v>1.0900000000000001</v>
      </c>
      <c r="AT62" s="159" t="str">
        <f t="shared" si="21"/>
        <v>Cost-Effective</v>
      </c>
      <c r="AU62" s="167">
        <f t="shared" si="34"/>
        <v>0.71</v>
      </c>
      <c r="AV62" s="162" t="str">
        <f t="shared" si="22"/>
        <v>Cost-Effective</v>
      </c>
      <c r="AW62" s="167">
        <f t="shared" si="35"/>
        <v>0.61331405073457201</v>
      </c>
      <c r="AX62" s="159" t="str">
        <f t="shared" si="23"/>
        <v>Cost-Effective</v>
      </c>
      <c r="AY62" s="167">
        <f t="shared" si="36"/>
        <v>0.19454672897770822</v>
      </c>
      <c r="AZ62" s="159" t="str">
        <f t="shared" si="24"/>
        <v>Not Cost-Effective</v>
      </c>
      <c r="BA62" s="167">
        <f t="shared" si="37"/>
        <v>1.6739433928535268</v>
      </c>
      <c r="BB62" s="159" t="str">
        <f t="shared" si="25"/>
        <v>Cost-Effective</v>
      </c>
      <c r="BC62" s="167">
        <f t="shared" si="38"/>
        <v>0.69378626051328196</v>
      </c>
      <c r="BD62" s="159" t="str">
        <f t="shared" si="26"/>
        <v>Cost-Effective</v>
      </c>
      <c r="BE62" s="162" t="s">
        <v>210</v>
      </c>
      <c r="BF62" s="162" t="s">
        <v>174</v>
      </c>
      <c r="BG62" s="168">
        <f t="shared" si="39"/>
        <v>0</v>
      </c>
      <c r="BH62" s="168">
        <f t="shared" si="40"/>
        <v>0</v>
      </c>
      <c r="BI62" s="163">
        <f t="shared" si="41"/>
        <v>1</v>
      </c>
      <c r="BJ62" s="163">
        <f t="shared" si="42"/>
        <v>0</v>
      </c>
      <c r="BK62" s="163">
        <f t="shared" si="27"/>
        <v>0</v>
      </c>
      <c r="BL62" s="163">
        <f t="shared" si="28"/>
        <v>0</v>
      </c>
      <c r="BM62" s="163">
        <f t="shared" si="29"/>
        <v>1</v>
      </c>
      <c r="BN62" s="163" t="s">
        <v>157</v>
      </c>
      <c r="BO62" s="162" t="str">
        <f t="shared" si="48"/>
        <v/>
      </c>
      <c r="BP62" s="162" t="s">
        <v>1408</v>
      </c>
      <c r="BQ62" s="162" t="s">
        <v>1425</v>
      </c>
    </row>
    <row r="63" spans="1:70">
      <c r="A63" s="159">
        <f t="shared" si="17"/>
        <v>19</v>
      </c>
      <c r="B63" s="159">
        <f t="shared" si="18"/>
        <v>2</v>
      </c>
      <c r="C63" s="160" t="str">
        <f t="shared" si="0"/>
        <v>1902</v>
      </c>
      <c r="D63" s="159" t="s">
        <v>336</v>
      </c>
      <c r="E63" s="161">
        <v>2009</v>
      </c>
      <c r="F63" s="162" t="s">
        <v>337</v>
      </c>
      <c r="G63" s="162" t="s">
        <v>330</v>
      </c>
      <c r="H63" s="163" t="str">
        <f t="shared" si="43"/>
        <v>UM</v>
      </c>
      <c r="I63" s="163" t="s">
        <v>157</v>
      </c>
      <c r="J63" s="180" t="s">
        <v>149</v>
      </c>
      <c r="K63" s="163" t="s">
        <v>150</v>
      </c>
      <c r="L63" s="163" t="s">
        <v>151</v>
      </c>
      <c r="M63" s="163" t="str">
        <f t="shared" si="19"/>
        <v>PCV7 vs NoVax</v>
      </c>
      <c r="N63" s="159" t="s">
        <v>331</v>
      </c>
      <c r="O63" s="159">
        <v>3</v>
      </c>
      <c r="P63" s="162" t="s">
        <v>148</v>
      </c>
      <c r="Q63" s="162" t="s">
        <v>153</v>
      </c>
      <c r="R63" s="162" t="s">
        <v>338</v>
      </c>
      <c r="S63" s="162" t="s">
        <v>330</v>
      </c>
      <c r="T63" s="159">
        <v>2006</v>
      </c>
      <c r="U63" s="165">
        <v>51.12</v>
      </c>
      <c r="V63" s="165">
        <f>IF(ISNUMBER(U63),U63/VLOOKUP($S63,xRates!$A$1:$AA$267,data!$T63-xRates!$B$1+2,FALSE),U63)</f>
        <v>23.499918786143962</v>
      </c>
      <c r="W63" s="162" t="s">
        <v>332</v>
      </c>
      <c r="Y63" s="165"/>
      <c r="AA63" s="163" t="s">
        <v>157</v>
      </c>
      <c r="AB63" s="162"/>
      <c r="AD63" s="163" t="s">
        <v>157</v>
      </c>
      <c r="AE63" s="162" t="str">
        <f t="shared" si="47"/>
        <v/>
      </c>
      <c r="AF63" s="163" t="s">
        <v>148</v>
      </c>
      <c r="AG63" s="163" t="s">
        <v>148</v>
      </c>
      <c r="AH63" s="163" t="s">
        <v>148</v>
      </c>
      <c r="AJ63" s="162"/>
      <c r="AK63" s="162" t="s">
        <v>340</v>
      </c>
      <c r="AL63" s="163" t="s">
        <v>247</v>
      </c>
      <c r="AM63" s="179">
        <v>3946</v>
      </c>
      <c r="AN63" s="179">
        <f>AM63/xRates!$L$28</f>
        <v>1813.9804289930373</v>
      </c>
      <c r="AO63" s="179">
        <f t="shared" si="44"/>
        <v>5886.3915219999999</v>
      </c>
      <c r="AP63" s="163" t="str">
        <f t="shared" si="32"/>
        <v>Cost-Effective</v>
      </c>
      <c r="AQ63" s="163" t="str">
        <f t="shared" si="20"/>
        <v>Cost-Effective</v>
      </c>
      <c r="AR63" s="167">
        <f t="shared" si="5"/>
        <v>0.30816509948640097</v>
      </c>
      <c r="AS63" s="167">
        <f t="shared" si="33"/>
        <v>1.0900000000000001</v>
      </c>
      <c r="AT63" s="159" t="str">
        <f t="shared" si="21"/>
        <v>Cost-Effective</v>
      </c>
      <c r="AU63" s="167">
        <f t="shared" si="34"/>
        <v>0.71</v>
      </c>
      <c r="AV63" s="162" t="str">
        <f t="shared" si="22"/>
        <v>Cost-Effective</v>
      </c>
      <c r="AW63" s="167">
        <f t="shared" si="35"/>
        <v>0.61331405073457201</v>
      </c>
      <c r="AX63" s="159" t="str">
        <f t="shared" si="23"/>
        <v>Cost-Effective</v>
      </c>
      <c r="AY63" s="167">
        <f t="shared" si="36"/>
        <v>0.19454672897770822</v>
      </c>
      <c r="AZ63" s="159" t="str">
        <f t="shared" si="24"/>
        <v>Not Cost-Effective</v>
      </c>
      <c r="BA63" s="167">
        <f t="shared" si="37"/>
        <v>1.6739433928535268</v>
      </c>
      <c r="BB63" s="159" t="str">
        <f t="shared" si="25"/>
        <v>Cost-Effective</v>
      </c>
      <c r="BC63" s="167">
        <f t="shared" si="38"/>
        <v>0.69378626051328196</v>
      </c>
      <c r="BD63" s="159" t="str">
        <f t="shared" si="26"/>
        <v>Cost-Effective</v>
      </c>
      <c r="BE63" s="162" t="s">
        <v>210</v>
      </c>
      <c r="BF63" s="162" t="s">
        <v>174</v>
      </c>
      <c r="BG63" s="168">
        <f t="shared" si="39"/>
        <v>0</v>
      </c>
      <c r="BH63" s="168">
        <f t="shared" si="40"/>
        <v>0</v>
      </c>
      <c r="BI63" s="163">
        <f t="shared" si="41"/>
        <v>1</v>
      </c>
      <c r="BJ63" s="163">
        <f t="shared" si="42"/>
        <v>0</v>
      </c>
      <c r="BK63" s="163">
        <f t="shared" si="27"/>
        <v>0</v>
      </c>
      <c r="BL63" s="163">
        <f t="shared" si="28"/>
        <v>0</v>
      </c>
      <c r="BM63" s="163">
        <f t="shared" si="29"/>
        <v>1</v>
      </c>
      <c r="BN63" s="163" t="s">
        <v>157</v>
      </c>
      <c r="BO63" s="162" t="str">
        <f t="shared" si="48"/>
        <v/>
      </c>
      <c r="BP63" s="162" t="s">
        <v>1408</v>
      </c>
      <c r="BQ63" s="162" t="s">
        <v>1425</v>
      </c>
    </row>
    <row r="64" spans="1:70">
      <c r="A64" s="159">
        <f t="shared" si="17"/>
        <v>19</v>
      </c>
      <c r="B64" s="159">
        <f t="shared" si="18"/>
        <v>3</v>
      </c>
      <c r="C64" s="160" t="str">
        <f t="shared" si="0"/>
        <v>1903</v>
      </c>
      <c r="D64" s="159" t="s">
        <v>336</v>
      </c>
      <c r="E64" s="161">
        <v>2009</v>
      </c>
      <c r="F64" s="162" t="s">
        <v>337</v>
      </c>
      <c r="G64" s="162" t="s">
        <v>330</v>
      </c>
      <c r="H64" s="163" t="str">
        <f t="shared" si="43"/>
        <v>UM</v>
      </c>
      <c r="I64" s="163" t="s">
        <v>157</v>
      </c>
      <c r="J64" s="180" t="s">
        <v>149</v>
      </c>
      <c r="K64" s="163" t="s">
        <v>150</v>
      </c>
      <c r="L64" s="163" t="s">
        <v>151</v>
      </c>
      <c r="M64" s="163" t="str">
        <f t="shared" si="19"/>
        <v>PCV7 vs NoVax</v>
      </c>
      <c r="N64" s="159" t="s">
        <v>331</v>
      </c>
      <c r="O64" s="159">
        <v>3</v>
      </c>
      <c r="P64" s="162" t="s">
        <v>157</v>
      </c>
      <c r="Q64" s="162" t="s">
        <v>153</v>
      </c>
      <c r="R64" s="162" t="s">
        <v>338</v>
      </c>
      <c r="S64" s="162" t="s">
        <v>330</v>
      </c>
      <c r="T64" s="159">
        <v>2006</v>
      </c>
      <c r="U64" s="165">
        <v>51.12</v>
      </c>
      <c r="V64" s="165">
        <f>IF(ISNUMBER(U64),U64/VLOOKUP($S64,xRates!$A$1:$AA$267,data!$T64-xRates!$B$1+2,FALSE),U64)</f>
        <v>23.499918786143962</v>
      </c>
      <c r="W64" s="162" t="s">
        <v>332</v>
      </c>
      <c r="Y64" s="165"/>
      <c r="AA64" s="163" t="s">
        <v>148</v>
      </c>
      <c r="AB64" s="162" t="s">
        <v>217</v>
      </c>
      <c r="AC64" s="162" t="s">
        <v>148</v>
      </c>
      <c r="AD64" s="163" t="s">
        <v>157</v>
      </c>
      <c r="AE64" s="162" t="str">
        <f t="shared" si="47"/>
        <v/>
      </c>
      <c r="AF64" s="163" t="s">
        <v>148</v>
      </c>
      <c r="AG64" s="163" t="s">
        <v>148</v>
      </c>
      <c r="AH64" s="163" t="s">
        <v>148</v>
      </c>
      <c r="AJ64" s="162"/>
      <c r="AK64" s="162" t="s">
        <v>341</v>
      </c>
      <c r="AL64" s="163" t="s">
        <v>247</v>
      </c>
      <c r="AM64" s="179">
        <v>1302</v>
      </c>
      <c r="AN64" s="179">
        <f>AM64/xRates!$L$28</f>
        <v>598.53079537479334</v>
      </c>
      <c r="AO64" s="179">
        <f t="shared" si="44"/>
        <v>5886.3915219999999</v>
      </c>
      <c r="AP64" s="163" t="str">
        <f t="shared" si="32"/>
        <v>Cost-Effective</v>
      </c>
      <c r="AQ64" s="163" t="str">
        <f t="shared" si="20"/>
        <v>Cost-Effective</v>
      </c>
      <c r="AR64" s="167">
        <f t="shared" si="5"/>
        <v>0.10168042562881249</v>
      </c>
      <c r="AS64" s="167">
        <f t="shared" si="33"/>
        <v>1.0900000000000001</v>
      </c>
      <c r="AT64" s="159" t="str">
        <f t="shared" si="21"/>
        <v>Cost-Effective</v>
      </c>
      <c r="AU64" s="167">
        <f t="shared" si="34"/>
        <v>0.71</v>
      </c>
      <c r="AV64" s="162" t="str">
        <f t="shared" si="22"/>
        <v>Cost-Effective</v>
      </c>
      <c r="AW64" s="167">
        <f t="shared" si="35"/>
        <v>0.61331405073457201</v>
      </c>
      <c r="AX64" s="159" t="str">
        <f t="shared" si="23"/>
        <v>Cost-Effective</v>
      </c>
      <c r="AY64" s="167">
        <f t="shared" si="36"/>
        <v>0.19454672897770822</v>
      </c>
      <c r="AZ64" s="159" t="str">
        <f t="shared" si="24"/>
        <v>Cost-Effective</v>
      </c>
      <c r="BA64" s="167">
        <f t="shared" si="37"/>
        <v>1.6739433928535268</v>
      </c>
      <c r="BB64" s="159" t="str">
        <f t="shared" si="25"/>
        <v>Cost-Effective</v>
      </c>
      <c r="BC64" s="167">
        <f t="shared" si="38"/>
        <v>0.69378626051328196</v>
      </c>
      <c r="BD64" s="159" t="str">
        <f t="shared" si="26"/>
        <v>Cost-Effective</v>
      </c>
      <c r="BE64" s="162" t="s">
        <v>210</v>
      </c>
      <c r="BF64" s="162" t="s">
        <v>174</v>
      </c>
      <c r="BG64" s="168">
        <f t="shared" si="39"/>
        <v>0</v>
      </c>
      <c r="BH64" s="168">
        <f t="shared" si="40"/>
        <v>0</v>
      </c>
      <c r="BI64" s="163">
        <f t="shared" si="41"/>
        <v>0</v>
      </c>
      <c r="BJ64" s="163">
        <f t="shared" si="42"/>
        <v>0</v>
      </c>
      <c r="BK64" s="163">
        <f t="shared" si="27"/>
        <v>0</v>
      </c>
      <c r="BL64" s="163">
        <f t="shared" si="28"/>
        <v>0</v>
      </c>
      <c r="BM64" s="163">
        <f t="shared" si="29"/>
        <v>0</v>
      </c>
      <c r="BN64" s="163" t="s">
        <v>157</v>
      </c>
      <c r="BO64" s="162" t="str">
        <f t="shared" si="48"/>
        <v/>
      </c>
      <c r="BP64" s="162" t="s">
        <v>1408</v>
      </c>
      <c r="BQ64" s="162" t="s">
        <v>1425</v>
      </c>
    </row>
    <row r="65" spans="1:70">
      <c r="A65" s="159">
        <f t="shared" si="17"/>
        <v>19</v>
      </c>
      <c r="B65" s="159">
        <f t="shared" si="18"/>
        <v>4</v>
      </c>
      <c r="C65" s="160" t="str">
        <f t="shared" si="0"/>
        <v>1904</v>
      </c>
      <c r="D65" s="159" t="s">
        <v>336</v>
      </c>
      <c r="E65" s="161">
        <v>2009</v>
      </c>
      <c r="F65" s="162" t="s">
        <v>337</v>
      </c>
      <c r="G65" s="162" t="s">
        <v>330</v>
      </c>
      <c r="H65" s="163" t="str">
        <f t="shared" si="43"/>
        <v>UM</v>
      </c>
      <c r="I65" s="163" t="s">
        <v>157</v>
      </c>
      <c r="J65" s="180" t="s">
        <v>149</v>
      </c>
      <c r="K65" s="163" t="s">
        <v>150</v>
      </c>
      <c r="L65" s="163" t="s">
        <v>151</v>
      </c>
      <c r="M65" s="163" t="str">
        <f t="shared" si="19"/>
        <v>PCV7 vs NoVax</v>
      </c>
      <c r="N65" s="159" t="s">
        <v>331</v>
      </c>
      <c r="O65" s="159">
        <v>3</v>
      </c>
      <c r="P65" s="162" t="s">
        <v>157</v>
      </c>
      <c r="Q65" s="162" t="s">
        <v>167</v>
      </c>
      <c r="R65" s="162" t="s">
        <v>338</v>
      </c>
      <c r="S65" s="162" t="s">
        <v>330</v>
      </c>
      <c r="T65" s="159">
        <v>2006</v>
      </c>
      <c r="U65" s="165">
        <v>51.12</v>
      </c>
      <c r="V65" s="165">
        <f>IF(ISNUMBER(U65),U65/VLOOKUP($S65,xRates!$A$1:$AA$267,data!$T65-xRates!$B$1+2,FALSE),U65)</f>
        <v>23.499918786143962</v>
      </c>
      <c r="W65" s="162" t="s">
        <v>332</v>
      </c>
      <c r="Y65" s="165"/>
      <c r="AA65" s="163" t="s">
        <v>148</v>
      </c>
      <c r="AB65" s="162" t="s">
        <v>217</v>
      </c>
      <c r="AC65" s="162" t="s">
        <v>148</v>
      </c>
      <c r="AD65" s="163" t="s">
        <v>157</v>
      </c>
      <c r="AE65" s="162" t="str">
        <f t="shared" si="47"/>
        <v/>
      </c>
      <c r="AF65" s="163" t="s">
        <v>148</v>
      </c>
      <c r="AG65" s="163" t="s">
        <v>148</v>
      </c>
      <c r="AH65" s="163" t="s">
        <v>148</v>
      </c>
      <c r="AJ65" s="162"/>
      <c r="AK65" s="162" t="s">
        <v>342</v>
      </c>
      <c r="AL65" s="163" t="s">
        <v>247</v>
      </c>
      <c r="AM65" s="179">
        <v>1490</v>
      </c>
      <c r="AN65" s="179">
        <f>AM65/xRates!$L$28</f>
        <v>684.95459685748244</v>
      </c>
      <c r="AO65" s="179">
        <f t="shared" si="44"/>
        <v>5886.3915219999999</v>
      </c>
      <c r="AP65" s="163" t="str">
        <f t="shared" si="32"/>
        <v>Cost-Effective</v>
      </c>
      <c r="AQ65" s="163" t="str">
        <f t="shared" si="20"/>
        <v>Cost-Effective</v>
      </c>
      <c r="AR65" s="167">
        <f t="shared" si="5"/>
        <v>0.11636239184864103</v>
      </c>
      <c r="AS65" s="167">
        <f t="shared" si="33"/>
        <v>1.0900000000000001</v>
      </c>
      <c r="AT65" s="159" t="str">
        <f t="shared" si="21"/>
        <v>Cost-Effective</v>
      </c>
      <c r="AU65" s="167">
        <f t="shared" si="34"/>
        <v>0.71</v>
      </c>
      <c r="AV65" s="162" t="str">
        <f t="shared" si="22"/>
        <v>Cost-Effective</v>
      </c>
      <c r="AW65" s="167">
        <f t="shared" si="35"/>
        <v>0.61331405073457201</v>
      </c>
      <c r="AX65" s="159" t="str">
        <f t="shared" si="23"/>
        <v>Cost-Effective</v>
      </c>
      <c r="AY65" s="167">
        <f t="shared" si="36"/>
        <v>0.19454672897770822</v>
      </c>
      <c r="AZ65" s="159" t="str">
        <f t="shared" si="24"/>
        <v>Cost-Effective</v>
      </c>
      <c r="BA65" s="167">
        <f t="shared" si="37"/>
        <v>1.6739433928535268</v>
      </c>
      <c r="BB65" s="159" t="str">
        <f t="shared" si="25"/>
        <v>Cost-Effective</v>
      </c>
      <c r="BC65" s="167">
        <f t="shared" si="38"/>
        <v>0.69378626051328196</v>
      </c>
      <c r="BD65" s="159" t="str">
        <f t="shared" si="26"/>
        <v>Cost-Effective</v>
      </c>
      <c r="BE65" s="162" t="s">
        <v>210</v>
      </c>
      <c r="BF65" s="162" t="s">
        <v>174</v>
      </c>
      <c r="BG65" s="168">
        <f t="shared" si="39"/>
        <v>0</v>
      </c>
      <c r="BH65" s="168">
        <f t="shared" si="40"/>
        <v>0</v>
      </c>
      <c r="BI65" s="163">
        <f t="shared" si="41"/>
        <v>0</v>
      </c>
      <c r="BJ65" s="163">
        <f t="shared" si="42"/>
        <v>0</v>
      </c>
      <c r="BK65" s="163">
        <f t="shared" si="27"/>
        <v>0</v>
      </c>
      <c r="BL65" s="163">
        <f t="shared" si="28"/>
        <v>0</v>
      </c>
      <c r="BM65" s="163">
        <f t="shared" si="29"/>
        <v>0</v>
      </c>
      <c r="BN65" s="163" t="s">
        <v>157</v>
      </c>
      <c r="BO65" s="162" t="str">
        <f t="shared" si="48"/>
        <v/>
      </c>
      <c r="BP65" s="162" t="s">
        <v>1408</v>
      </c>
      <c r="BQ65" s="162" t="s">
        <v>1425</v>
      </c>
    </row>
    <row r="66" spans="1:70">
      <c r="A66" s="159">
        <f t="shared" si="17"/>
        <v>19</v>
      </c>
      <c r="B66" s="159">
        <f t="shared" si="18"/>
        <v>5</v>
      </c>
      <c r="C66" s="160" t="str">
        <f t="shared" ref="C66:C129" si="49">_xlfn.CONCAT(TEXT(A66,"00"),TEXT(B66,"00"))</f>
        <v>1905</v>
      </c>
      <c r="D66" s="159" t="s">
        <v>336</v>
      </c>
      <c r="E66" s="161">
        <v>2009</v>
      </c>
      <c r="F66" s="162" t="s">
        <v>337</v>
      </c>
      <c r="G66" s="162" t="s">
        <v>330</v>
      </c>
      <c r="H66" s="163" t="str">
        <f t="shared" si="43"/>
        <v>UM</v>
      </c>
      <c r="I66" s="163" t="s">
        <v>157</v>
      </c>
      <c r="J66" s="180" t="s">
        <v>149</v>
      </c>
      <c r="K66" s="163" t="s">
        <v>150</v>
      </c>
      <c r="L66" s="163" t="s">
        <v>151</v>
      </c>
      <c r="M66" s="163" t="str">
        <f t="shared" si="19"/>
        <v>PCV7 vs NoVax</v>
      </c>
      <c r="N66" s="159" t="s">
        <v>166</v>
      </c>
      <c r="O66" s="159">
        <v>4</v>
      </c>
      <c r="P66" s="162" t="s">
        <v>148</v>
      </c>
      <c r="Q66" s="162" t="s">
        <v>167</v>
      </c>
      <c r="R66" s="162" t="s">
        <v>338</v>
      </c>
      <c r="S66" s="162" t="s">
        <v>330</v>
      </c>
      <c r="T66" s="159">
        <v>2006</v>
      </c>
      <c r="U66" s="165">
        <v>51.12</v>
      </c>
      <c r="V66" s="165">
        <f>IF(ISNUMBER(U66),U66/VLOOKUP($S66,xRates!$A$1:$AA$267,data!$T66-xRates!$B$1+2,FALSE),U66)</f>
        <v>23.499918786143962</v>
      </c>
      <c r="W66" s="162" t="s">
        <v>332</v>
      </c>
      <c r="Y66" s="165"/>
      <c r="AA66" s="163" t="s">
        <v>157</v>
      </c>
      <c r="AB66" s="162"/>
      <c r="AD66" s="163" t="s">
        <v>157</v>
      </c>
      <c r="AE66" s="162" t="str">
        <f t="shared" si="47"/>
        <v/>
      </c>
      <c r="AF66" s="163" t="s">
        <v>148</v>
      </c>
      <c r="AG66" s="163" t="s">
        <v>148</v>
      </c>
      <c r="AH66" s="163" t="s">
        <v>148</v>
      </c>
      <c r="AJ66" s="162"/>
      <c r="AK66" s="162" t="s">
        <v>343</v>
      </c>
      <c r="AL66" s="163" t="s">
        <v>247</v>
      </c>
      <c r="AM66" s="179">
        <v>5973</v>
      </c>
      <c r="AN66" s="179">
        <f>AM66/xRates!$L$28</f>
        <v>2745.7945013622434</v>
      </c>
      <c r="AO66" s="179">
        <f t="shared" si="44"/>
        <v>5886.3915219999999</v>
      </c>
      <c r="AP66" s="163" t="str">
        <f t="shared" si="32"/>
        <v>Cost-Effective</v>
      </c>
      <c r="AQ66" s="163" t="str">
        <f t="shared" si="20"/>
        <v>Cost-Effective</v>
      </c>
      <c r="AR66" s="167">
        <f t="shared" ref="AR66:AR128" si="50">IFERROR(AN66/AO66,".")</f>
        <v>0.46646480973955229</v>
      </c>
      <c r="AS66" s="167">
        <f t="shared" ref="AS66:AS97" si="51">IFERROR(VLOOKUP(G66,ochalek,11,FALSE),".")</f>
        <v>1.0900000000000001</v>
      </c>
      <c r="AT66" s="159" t="str">
        <f t="shared" si="21"/>
        <v>Cost-Effective</v>
      </c>
      <c r="AU66" s="167">
        <f t="shared" ref="AU66:AU97" si="52">IFERROR(VLOOKUP(G66,ochalek,10,FALSE),".")</f>
        <v>0.71</v>
      </c>
      <c r="AV66" s="162" t="str">
        <f t="shared" si="22"/>
        <v>Cost-Effective</v>
      </c>
      <c r="AW66" s="167">
        <f t="shared" ref="AW66:AW97" si="53">IFERROR(VLOOKUP(G66,woods,6,FALSE),".")</f>
        <v>0.61331405073457201</v>
      </c>
      <c r="AX66" s="159" t="str">
        <f t="shared" si="23"/>
        <v>Cost-Effective</v>
      </c>
      <c r="AY66" s="167">
        <f t="shared" ref="AY66:AY97" si="54">IFERROR(VLOOKUP(G66,woods,5,FALSE),".")</f>
        <v>0.19454672897770822</v>
      </c>
      <c r="AZ66" s="159" t="str">
        <f t="shared" si="24"/>
        <v>Not Cost-Effective</v>
      </c>
      <c r="BA66" s="167">
        <f t="shared" ref="BA66:BA97" si="55">IFERROR(VLOOKUP(G66,riviere,8,FALSE),".")</f>
        <v>1.6739433928535268</v>
      </c>
      <c r="BB66" s="159" t="str">
        <f t="shared" si="25"/>
        <v>Cost-Effective</v>
      </c>
      <c r="BC66" s="167">
        <f t="shared" ref="BC66:BC97" si="56">IFERROR(VLOOKUP(G66,riviere,7,FALSE),".")</f>
        <v>0.69378626051328196</v>
      </c>
      <c r="BD66" s="159" t="str">
        <f t="shared" si="26"/>
        <v>Cost-Effective</v>
      </c>
      <c r="BE66" s="162" t="s">
        <v>210</v>
      </c>
      <c r="BF66" s="162" t="s">
        <v>174</v>
      </c>
      <c r="BG66" s="168">
        <f t="shared" ref="BG66:BG97" si="57">IF(BF66="Cost-Effective",IF(AV66="Not Cost-Effective",1,0),".")</f>
        <v>0</v>
      </c>
      <c r="BH66" s="168">
        <f t="shared" ref="BH66:BH97" si="58">IF(BF66="Cost-Effective",IF(AT66="Not Cost-Effective",1,0),".")</f>
        <v>0</v>
      </c>
      <c r="BI66" s="163">
        <f t="shared" ref="BI66:BI97" si="59">IF(BF66="Cost-Effective",IF(AZ66="Not Cost-Effective",1,0),".")</f>
        <v>1</v>
      </c>
      <c r="BJ66" s="163">
        <f t="shared" ref="BJ66:BJ97" si="60">IF(BF66="Cost-Effective",IF(AX66="Not Cost-Effective",1,0),".")</f>
        <v>0</v>
      </c>
      <c r="BK66" s="163">
        <f t="shared" si="27"/>
        <v>0</v>
      </c>
      <c r="BL66" s="163">
        <f t="shared" si="28"/>
        <v>0</v>
      </c>
      <c r="BM66" s="163">
        <f t="shared" si="29"/>
        <v>1</v>
      </c>
      <c r="BN66" s="163" t="s">
        <v>157</v>
      </c>
      <c r="BO66" s="162" t="str">
        <f t="shared" si="48"/>
        <v/>
      </c>
      <c r="BP66" s="162" t="s">
        <v>1408</v>
      </c>
      <c r="BQ66" s="162" t="s">
        <v>1425</v>
      </c>
    </row>
    <row r="67" spans="1:70">
      <c r="A67" s="159">
        <f t="shared" ref="A67:A130" si="61">IF(F67=F66,A66,A66+1)</f>
        <v>19</v>
      </c>
      <c r="B67" s="159">
        <f t="shared" ref="B67:B130" si="62">IF(F67=F66,B66+1,1)</f>
        <v>6</v>
      </c>
      <c r="C67" s="160" t="str">
        <f t="shared" si="49"/>
        <v>1906</v>
      </c>
      <c r="D67" s="159" t="s">
        <v>336</v>
      </c>
      <c r="E67" s="161">
        <v>2009</v>
      </c>
      <c r="F67" s="162" t="s">
        <v>337</v>
      </c>
      <c r="G67" s="162" t="s">
        <v>330</v>
      </c>
      <c r="H67" s="163" t="str">
        <f t="shared" ref="H67:H98" si="63">VLOOKUP(G67,income,T67-1985,FALSE)</f>
        <v>UM</v>
      </c>
      <c r="I67" s="163" t="s">
        <v>157</v>
      </c>
      <c r="J67" s="180" t="s">
        <v>149</v>
      </c>
      <c r="K67" s="163" t="s">
        <v>150</v>
      </c>
      <c r="L67" s="163" t="s">
        <v>151</v>
      </c>
      <c r="M67" s="163" t="str">
        <f t="shared" ref="M67:M130" si="64">_xlfn.CONCAT(K67, " vs ", L67)</f>
        <v>PCV7 vs NoVax</v>
      </c>
      <c r="N67" s="159" t="s">
        <v>166</v>
      </c>
      <c r="O67" s="159">
        <v>4</v>
      </c>
      <c r="P67" s="162" t="s">
        <v>148</v>
      </c>
      <c r="Q67" s="162" t="s">
        <v>153</v>
      </c>
      <c r="R67" s="162" t="s">
        <v>338</v>
      </c>
      <c r="S67" s="162" t="s">
        <v>330</v>
      </c>
      <c r="T67" s="159">
        <v>2006</v>
      </c>
      <c r="U67" s="165">
        <v>51.12</v>
      </c>
      <c r="V67" s="165">
        <f>IF(ISNUMBER(U67),U67/VLOOKUP($S67,xRates!$A$1:$AA$267,data!$T67-xRates!$B$1+2,FALSE),U67)</f>
        <v>23.499918786143962</v>
      </c>
      <c r="W67" s="162" t="s">
        <v>332</v>
      </c>
      <c r="Y67" s="165"/>
      <c r="AA67" s="163" t="s">
        <v>157</v>
      </c>
      <c r="AB67" s="162"/>
      <c r="AD67" s="163" t="s">
        <v>157</v>
      </c>
      <c r="AE67" s="162" t="str">
        <f t="shared" si="47"/>
        <v/>
      </c>
      <c r="AF67" s="163" t="s">
        <v>148</v>
      </c>
      <c r="AG67" s="163" t="s">
        <v>148</v>
      </c>
      <c r="AH67" s="163" t="s">
        <v>148</v>
      </c>
      <c r="AJ67" s="162"/>
      <c r="AK67" s="162" t="s">
        <v>344</v>
      </c>
      <c r="AL67" s="163" t="s">
        <v>247</v>
      </c>
      <c r="AM67" s="179">
        <v>5403</v>
      </c>
      <c r="AN67" s="179">
        <f>AM67/xRates!$L$28</f>
        <v>2483.7648904838775</v>
      </c>
      <c r="AO67" s="179">
        <f t="shared" ref="AO67:AO98" si="65">VLOOKUP(G67,gdppc,T67-1958,FALSE)</f>
        <v>5886.3915219999999</v>
      </c>
      <c r="AP67" s="163" t="str">
        <f t="shared" si="32"/>
        <v>Cost-Effective</v>
      </c>
      <c r="AQ67" s="163" t="str">
        <f t="shared" ref="AQ67:AQ129" si="66">IF(AN67="NA", ".", IF(AN67&lt;0,"Cost-Saving",IF(AN67&lt;=AO67*3,"Cost-Effective",IF(AN67&gt;AO67*3&amp;AN67&lt;&gt;"NA","Not Cost-Effective","Missing"))))</f>
        <v>Cost-Effective</v>
      </c>
      <c r="AR67" s="167">
        <f t="shared" si="50"/>
        <v>0.42195033769007212</v>
      </c>
      <c r="AS67" s="167">
        <f t="shared" si="51"/>
        <v>1.0900000000000001</v>
      </c>
      <c r="AT67" s="159" t="str">
        <f t="shared" ref="AT67:AT130" si="67">IF(AR67&lt;0,"Cost-Saving", IF(AS67=".", ".", IF(AR67&lt;AS67, "Cost-Effective", "Not Cost-Effective")))</f>
        <v>Cost-Effective</v>
      </c>
      <c r="AU67" s="167">
        <f t="shared" si="52"/>
        <v>0.71</v>
      </c>
      <c r="AV67" s="162" t="str">
        <f t="shared" ref="AV67:AV130" si="68">IF(AR67&lt;0,"Cost-Saving", IF(AU67=".", ".", IF(AR67&lt;AU67, "Cost-Effective", "Not Cost-Effective")))</f>
        <v>Cost-Effective</v>
      </c>
      <c r="AW67" s="167">
        <f t="shared" si="53"/>
        <v>0.61331405073457201</v>
      </c>
      <c r="AX67" s="159" t="str">
        <f t="shared" ref="AX67:AX130" si="69">IF(AR67&lt;0,"Cost-Saving", IF(AW67=".", ".", IF(AR67&lt;AW67, "Cost-Effective", "Not Cost-Effective")))</f>
        <v>Cost-Effective</v>
      </c>
      <c r="AY67" s="167">
        <f t="shared" si="54"/>
        <v>0.19454672897770822</v>
      </c>
      <c r="AZ67" s="159" t="str">
        <f t="shared" ref="AZ67:AZ130" si="70">IF(AR67&lt;0,"Cost-Saving", IF(AY67=".", ".", IF(AR67&lt;AY67, "Cost-Effective", "Not Cost-Effective")))</f>
        <v>Not Cost-Effective</v>
      </c>
      <c r="BA67" s="167">
        <f t="shared" si="55"/>
        <v>1.6739433928535268</v>
      </c>
      <c r="BB67" s="159" t="str">
        <f t="shared" ref="BB67:BB130" si="71">IF(AR67&lt;0,"Cost-Saving", IF(BA67=".", ".", IF(AR67&lt;BA67, "Cost-Effective", "Not Cost-Effective")))</f>
        <v>Cost-Effective</v>
      </c>
      <c r="BC67" s="167">
        <f t="shared" si="56"/>
        <v>0.69378626051328196</v>
      </c>
      <c r="BD67" s="159" t="str">
        <f t="shared" ref="BD67:BD130" si="72">IF(AR67&lt;0,"Cost-Saving", IF(BC67=".", ".", IF(AR67&lt;BC67, "Cost-Effective", "Not Cost-Effective")))</f>
        <v>Cost-Effective</v>
      </c>
      <c r="BE67" s="162" t="s">
        <v>210</v>
      </c>
      <c r="BF67" s="162" t="s">
        <v>174</v>
      </c>
      <c r="BG67" s="168">
        <f t="shared" si="57"/>
        <v>0</v>
      </c>
      <c r="BH67" s="168">
        <f t="shared" si="58"/>
        <v>0</v>
      </c>
      <c r="BI67" s="163">
        <f t="shared" si="59"/>
        <v>1</v>
      </c>
      <c r="BJ67" s="163">
        <f t="shared" si="60"/>
        <v>0</v>
      </c>
      <c r="BK67" s="163">
        <f t="shared" ref="BK67:BK130" si="73">IF(BF67="Cost-Effective",IF(BD67="Not Cost-Effective",1,0),".")</f>
        <v>0</v>
      </c>
      <c r="BL67" s="163">
        <f t="shared" ref="BL67:BL130" si="74">IF(BF67="Cost-Effective",IF(BB67="Not Cost-Effective",1,0),".")</f>
        <v>0</v>
      </c>
      <c r="BM67" s="163">
        <f t="shared" ref="BM67:BM130" si="75">SUM(BG67:BL67)</f>
        <v>1</v>
      </c>
      <c r="BN67" s="163" t="s">
        <v>157</v>
      </c>
      <c r="BO67" s="162" t="str">
        <f t="shared" si="48"/>
        <v/>
      </c>
      <c r="BP67" s="162" t="s">
        <v>1408</v>
      </c>
      <c r="BQ67" s="162" t="s">
        <v>1425</v>
      </c>
    </row>
    <row r="68" spans="1:70">
      <c r="A68" s="159">
        <f t="shared" si="61"/>
        <v>20</v>
      </c>
      <c r="B68" s="159">
        <f t="shared" si="62"/>
        <v>1</v>
      </c>
      <c r="C68" s="160" t="str">
        <f t="shared" si="49"/>
        <v>2001</v>
      </c>
      <c r="D68" s="159" t="s">
        <v>38</v>
      </c>
      <c r="E68" s="161">
        <v>2010</v>
      </c>
      <c r="F68" s="162" t="s">
        <v>345</v>
      </c>
      <c r="G68" s="162" t="s">
        <v>346</v>
      </c>
      <c r="H68" s="163" t="str">
        <f t="shared" si="63"/>
        <v>L</v>
      </c>
      <c r="I68" s="163" t="s">
        <v>157</v>
      </c>
      <c r="J68" s="180" t="s">
        <v>347</v>
      </c>
      <c r="K68" s="163" t="s">
        <v>348</v>
      </c>
      <c r="L68" s="163" t="s">
        <v>151</v>
      </c>
      <c r="M68" s="163" t="str">
        <f t="shared" si="64"/>
        <v>PCV9 vs NoVax</v>
      </c>
      <c r="N68" s="159" t="s">
        <v>331</v>
      </c>
      <c r="O68" s="159">
        <v>3</v>
      </c>
      <c r="P68" s="162" t="s">
        <v>148</v>
      </c>
      <c r="Q68" s="162" t="s">
        <v>153</v>
      </c>
      <c r="R68" s="162" t="s">
        <v>154</v>
      </c>
      <c r="S68" s="162" t="s">
        <v>155</v>
      </c>
      <c r="T68" s="159">
        <v>2005</v>
      </c>
      <c r="U68" s="165">
        <v>3.5</v>
      </c>
      <c r="V68" s="165">
        <f>IF(ISNUMBER(U68),U68/VLOOKUP($S68,xRates!$A$1:$AA$267,data!$T68-xRates!$B$1+2,FALSE),U68)</f>
        <v>3.5</v>
      </c>
      <c r="W68" s="162" t="s">
        <v>349</v>
      </c>
      <c r="Y68" s="165"/>
      <c r="AA68" s="163" t="s">
        <v>157</v>
      </c>
      <c r="AB68" s="162"/>
      <c r="AD68" s="163" t="s">
        <v>157</v>
      </c>
      <c r="AE68" s="162" t="str">
        <f t="shared" si="47"/>
        <v/>
      </c>
      <c r="AF68" s="163" t="s">
        <v>148</v>
      </c>
      <c r="AG68" s="163" t="s">
        <v>148</v>
      </c>
      <c r="AH68" s="163" t="s">
        <v>157</v>
      </c>
      <c r="AJ68" s="162"/>
      <c r="AK68" s="162" t="s">
        <v>350</v>
      </c>
      <c r="AL68" s="163" t="s">
        <v>247</v>
      </c>
      <c r="AM68" s="179">
        <v>670</v>
      </c>
      <c r="AN68" s="179">
        <v>670</v>
      </c>
      <c r="AO68" s="179">
        <f t="shared" si="65"/>
        <v>665.72021570000004</v>
      </c>
      <c r="AP68" s="163" t="str">
        <f t="shared" si="32"/>
        <v>Not Cost-Effective</v>
      </c>
      <c r="AQ68" s="163" t="str">
        <f t="shared" si="66"/>
        <v>Cost-Effective</v>
      </c>
      <c r="AR68" s="167">
        <f t="shared" si="50"/>
        <v>1.0064288032706048</v>
      </c>
      <c r="AS68" s="167">
        <f t="shared" si="51"/>
        <v>0.69</v>
      </c>
      <c r="AT68" s="159" t="str">
        <f t="shared" si="67"/>
        <v>Not Cost-Effective</v>
      </c>
      <c r="AU68" s="167">
        <f t="shared" si="52"/>
        <v>0.52</v>
      </c>
      <c r="AV68" s="162" t="str">
        <f t="shared" si="68"/>
        <v>Not Cost-Effective</v>
      </c>
      <c r="AW68" s="167">
        <f t="shared" si="53"/>
        <v>0.35973480239731703</v>
      </c>
      <c r="AX68" s="159" t="str">
        <f t="shared" si="69"/>
        <v>Not Cost-Effective</v>
      </c>
      <c r="AY68" s="167">
        <f t="shared" si="54"/>
        <v>1.7130228685586526E-2</v>
      </c>
      <c r="AZ68" s="159" t="str">
        <f t="shared" si="70"/>
        <v>Not Cost-Effective</v>
      </c>
      <c r="BA68" s="167">
        <f t="shared" si="55"/>
        <v>0.25516617130748365</v>
      </c>
      <c r="BB68" s="159" t="str">
        <f t="shared" si="71"/>
        <v>Not Cost-Effective</v>
      </c>
      <c r="BC68" s="167">
        <f t="shared" si="56"/>
        <v>5.0515130360364778E-2</v>
      </c>
      <c r="BD68" s="159" t="str">
        <f t="shared" si="72"/>
        <v>Not Cost-Effective</v>
      </c>
      <c r="BE68" s="162" t="s">
        <v>173</v>
      </c>
      <c r="BF68" s="162" t="s">
        <v>174</v>
      </c>
      <c r="BG68" s="168">
        <f t="shared" si="57"/>
        <v>1</v>
      </c>
      <c r="BH68" s="168">
        <f t="shared" si="58"/>
        <v>1</v>
      </c>
      <c r="BI68" s="163">
        <f t="shared" si="59"/>
        <v>1</v>
      </c>
      <c r="BJ68" s="163">
        <f t="shared" si="60"/>
        <v>1</v>
      </c>
      <c r="BK68" s="163">
        <f t="shared" si="73"/>
        <v>1</v>
      </c>
      <c r="BL68" s="163">
        <f t="shared" si="74"/>
        <v>1</v>
      </c>
      <c r="BM68" s="163">
        <f t="shared" si="75"/>
        <v>6</v>
      </c>
      <c r="BN68" s="163" t="s">
        <v>157</v>
      </c>
      <c r="BO68" s="162" t="str">
        <f t="shared" si="48"/>
        <v/>
      </c>
      <c r="BP68" s="162" t="s">
        <v>1409</v>
      </c>
      <c r="BQ68" s="162" t="s">
        <v>1426</v>
      </c>
    </row>
    <row r="69" spans="1:70">
      <c r="A69" s="159">
        <f t="shared" si="61"/>
        <v>20</v>
      </c>
      <c r="B69" s="159">
        <f t="shared" si="62"/>
        <v>2</v>
      </c>
      <c r="C69" s="160" t="str">
        <f t="shared" si="49"/>
        <v>2002</v>
      </c>
      <c r="D69" s="159" t="s">
        <v>38</v>
      </c>
      <c r="E69" s="161">
        <v>2010</v>
      </c>
      <c r="F69" s="162" t="s">
        <v>345</v>
      </c>
      <c r="G69" s="162" t="s">
        <v>346</v>
      </c>
      <c r="H69" s="163" t="str">
        <f t="shared" si="63"/>
        <v>L</v>
      </c>
      <c r="I69" s="163" t="s">
        <v>157</v>
      </c>
      <c r="J69" s="180" t="s">
        <v>149</v>
      </c>
      <c r="K69" s="163" t="s">
        <v>150</v>
      </c>
      <c r="L69" s="163" t="s">
        <v>151</v>
      </c>
      <c r="M69" s="163" t="str">
        <f t="shared" si="64"/>
        <v>PCV7 vs NoVax</v>
      </c>
      <c r="N69" s="159" t="s">
        <v>331</v>
      </c>
      <c r="O69" s="159">
        <v>3</v>
      </c>
      <c r="P69" s="162" t="s">
        <v>148</v>
      </c>
      <c r="Q69" s="162" t="s">
        <v>153</v>
      </c>
      <c r="R69" s="162" t="s">
        <v>154</v>
      </c>
      <c r="S69" s="162" t="s">
        <v>155</v>
      </c>
      <c r="T69" s="159">
        <v>2005</v>
      </c>
      <c r="U69" s="165">
        <v>3.5</v>
      </c>
      <c r="V69" s="165">
        <f>IF(ISNUMBER(U69),U69/VLOOKUP($S69,xRates!$A$1:$AA$267,data!$T69-xRates!$B$1+2,FALSE),U69)</f>
        <v>3.5</v>
      </c>
      <c r="W69" s="162" t="s">
        <v>349</v>
      </c>
      <c r="Y69" s="165"/>
      <c r="AA69" s="163" t="s">
        <v>157</v>
      </c>
      <c r="AB69" s="162"/>
      <c r="AD69" s="163" t="s">
        <v>157</v>
      </c>
      <c r="AE69" s="162" t="str">
        <f t="shared" si="47"/>
        <v/>
      </c>
      <c r="AF69" s="163" t="s">
        <v>148</v>
      </c>
      <c r="AG69" s="163" t="s">
        <v>148</v>
      </c>
      <c r="AH69" s="163" t="s">
        <v>157</v>
      </c>
      <c r="AJ69" s="162"/>
      <c r="AK69" s="162" t="s">
        <v>351</v>
      </c>
      <c r="AL69" s="163" t="s">
        <v>247</v>
      </c>
      <c r="AM69" s="179">
        <v>910</v>
      </c>
      <c r="AN69" s="179">
        <v>910</v>
      </c>
      <c r="AO69" s="179">
        <f t="shared" si="65"/>
        <v>665.72021570000004</v>
      </c>
      <c r="AP69" s="163" t="str">
        <f t="shared" si="32"/>
        <v>Not Cost-Effective</v>
      </c>
      <c r="AQ69" s="163" t="str">
        <f t="shared" si="66"/>
        <v>Cost-Effective</v>
      </c>
      <c r="AR69" s="167">
        <f t="shared" si="50"/>
        <v>1.3669406133973887</v>
      </c>
      <c r="AS69" s="167">
        <f t="shared" si="51"/>
        <v>0.69</v>
      </c>
      <c r="AT69" s="159" t="str">
        <f t="shared" si="67"/>
        <v>Not Cost-Effective</v>
      </c>
      <c r="AU69" s="167">
        <f t="shared" si="52"/>
        <v>0.52</v>
      </c>
      <c r="AV69" s="162" t="str">
        <f t="shared" si="68"/>
        <v>Not Cost-Effective</v>
      </c>
      <c r="AW69" s="167">
        <f t="shared" si="53"/>
        <v>0.35973480239731703</v>
      </c>
      <c r="AX69" s="159" t="str">
        <f t="shared" si="69"/>
        <v>Not Cost-Effective</v>
      </c>
      <c r="AY69" s="167">
        <f t="shared" si="54"/>
        <v>1.7130228685586526E-2</v>
      </c>
      <c r="AZ69" s="159" t="str">
        <f t="shared" si="70"/>
        <v>Not Cost-Effective</v>
      </c>
      <c r="BA69" s="167">
        <f t="shared" si="55"/>
        <v>0.25516617130748365</v>
      </c>
      <c r="BB69" s="159" t="str">
        <f t="shared" si="71"/>
        <v>Not Cost-Effective</v>
      </c>
      <c r="BC69" s="167">
        <f t="shared" si="56"/>
        <v>5.0515130360364778E-2</v>
      </c>
      <c r="BD69" s="159" t="str">
        <f t="shared" si="72"/>
        <v>Not Cost-Effective</v>
      </c>
      <c r="BE69" s="162" t="s">
        <v>173</v>
      </c>
      <c r="BF69" s="162" t="s">
        <v>174</v>
      </c>
      <c r="BG69" s="168">
        <f t="shared" si="57"/>
        <v>1</v>
      </c>
      <c r="BH69" s="168">
        <f t="shared" si="58"/>
        <v>1</v>
      </c>
      <c r="BI69" s="163">
        <f t="shared" si="59"/>
        <v>1</v>
      </c>
      <c r="BJ69" s="163">
        <f t="shared" si="60"/>
        <v>1</v>
      </c>
      <c r="BK69" s="163">
        <f t="shared" si="73"/>
        <v>1</v>
      </c>
      <c r="BL69" s="163">
        <f t="shared" si="74"/>
        <v>1</v>
      </c>
      <c r="BM69" s="163">
        <f t="shared" si="75"/>
        <v>6</v>
      </c>
      <c r="BN69" s="163" t="s">
        <v>157</v>
      </c>
      <c r="BO69" s="162" t="str">
        <f t="shared" si="48"/>
        <v/>
      </c>
      <c r="BP69" s="162" t="s">
        <v>1409</v>
      </c>
      <c r="BQ69" s="162" t="s">
        <v>1426</v>
      </c>
    </row>
    <row r="70" spans="1:70">
      <c r="A70" s="159">
        <f t="shared" si="61"/>
        <v>20</v>
      </c>
      <c r="B70" s="159">
        <f t="shared" si="62"/>
        <v>3</v>
      </c>
      <c r="C70" s="160" t="str">
        <f t="shared" si="49"/>
        <v>2003</v>
      </c>
      <c r="D70" s="159" t="s">
        <v>38</v>
      </c>
      <c r="E70" s="161">
        <v>2010</v>
      </c>
      <c r="F70" s="162" t="s">
        <v>345</v>
      </c>
      <c r="G70" s="162" t="s">
        <v>346</v>
      </c>
      <c r="H70" s="163" t="str">
        <f t="shared" si="63"/>
        <v>L</v>
      </c>
      <c r="I70" s="163" t="s">
        <v>157</v>
      </c>
      <c r="J70" s="180" t="s">
        <v>352</v>
      </c>
      <c r="K70" s="163" t="s">
        <v>183</v>
      </c>
      <c r="L70" s="163" t="s">
        <v>151</v>
      </c>
      <c r="M70" s="163" t="str">
        <f t="shared" si="64"/>
        <v>PCV10 vs NoVax</v>
      </c>
      <c r="N70" s="159" t="s">
        <v>331</v>
      </c>
      <c r="O70" s="159">
        <v>3</v>
      </c>
      <c r="P70" s="162" t="s">
        <v>148</v>
      </c>
      <c r="Q70" s="162" t="s">
        <v>153</v>
      </c>
      <c r="R70" s="162" t="s">
        <v>154</v>
      </c>
      <c r="S70" s="162" t="s">
        <v>155</v>
      </c>
      <c r="T70" s="159">
        <v>2005</v>
      </c>
      <c r="U70" s="165">
        <v>3.5</v>
      </c>
      <c r="V70" s="165">
        <f>IF(ISNUMBER(U70),U70/VLOOKUP($S70,xRates!$A$1:$AA$267,data!$T70-xRates!$B$1+2,FALSE),U70)</f>
        <v>3.5</v>
      </c>
      <c r="W70" s="162" t="s">
        <v>349</v>
      </c>
      <c r="Y70" s="165"/>
      <c r="AA70" s="163" t="s">
        <v>157</v>
      </c>
      <c r="AB70" s="162"/>
      <c r="AD70" s="163" t="s">
        <v>157</v>
      </c>
      <c r="AE70" s="162" t="str">
        <f t="shared" si="47"/>
        <v/>
      </c>
      <c r="AF70" s="163" t="s">
        <v>148</v>
      </c>
      <c r="AG70" s="163" t="s">
        <v>148</v>
      </c>
      <c r="AH70" s="163" t="s">
        <v>157</v>
      </c>
      <c r="AJ70" s="162"/>
      <c r="AK70" s="162" t="s">
        <v>350</v>
      </c>
      <c r="AL70" s="163" t="s">
        <v>247</v>
      </c>
      <c r="AM70" s="179">
        <v>670</v>
      </c>
      <c r="AN70" s="179">
        <v>670</v>
      </c>
      <c r="AO70" s="179">
        <f t="shared" si="65"/>
        <v>665.72021570000004</v>
      </c>
      <c r="AP70" s="163" t="str">
        <f t="shared" si="32"/>
        <v>Not Cost-Effective</v>
      </c>
      <c r="AQ70" s="163" t="str">
        <f t="shared" si="66"/>
        <v>Cost-Effective</v>
      </c>
      <c r="AR70" s="167">
        <f t="shared" si="50"/>
        <v>1.0064288032706048</v>
      </c>
      <c r="AS70" s="167">
        <f t="shared" si="51"/>
        <v>0.69</v>
      </c>
      <c r="AT70" s="159" t="str">
        <f t="shared" si="67"/>
        <v>Not Cost-Effective</v>
      </c>
      <c r="AU70" s="167">
        <f t="shared" si="52"/>
        <v>0.52</v>
      </c>
      <c r="AV70" s="162" t="str">
        <f t="shared" si="68"/>
        <v>Not Cost-Effective</v>
      </c>
      <c r="AW70" s="167">
        <f t="shared" si="53"/>
        <v>0.35973480239731703</v>
      </c>
      <c r="AX70" s="159" t="str">
        <f t="shared" si="69"/>
        <v>Not Cost-Effective</v>
      </c>
      <c r="AY70" s="167">
        <f t="shared" si="54"/>
        <v>1.7130228685586526E-2</v>
      </c>
      <c r="AZ70" s="159" t="str">
        <f t="shared" si="70"/>
        <v>Not Cost-Effective</v>
      </c>
      <c r="BA70" s="167">
        <f t="shared" si="55"/>
        <v>0.25516617130748365</v>
      </c>
      <c r="BB70" s="159" t="str">
        <f t="shared" si="71"/>
        <v>Not Cost-Effective</v>
      </c>
      <c r="BC70" s="167">
        <f t="shared" si="56"/>
        <v>5.0515130360364778E-2</v>
      </c>
      <c r="BD70" s="159" t="str">
        <f t="shared" si="72"/>
        <v>Not Cost-Effective</v>
      </c>
      <c r="BE70" s="162" t="s">
        <v>173</v>
      </c>
      <c r="BF70" s="162" t="s">
        <v>174</v>
      </c>
      <c r="BG70" s="168">
        <f t="shared" si="57"/>
        <v>1</v>
      </c>
      <c r="BH70" s="168">
        <f t="shared" si="58"/>
        <v>1</v>
      </c>
      <c r="BI70" s="163">
        <f t="shared" si="59"/>
        <v>1</v>
      </c>
      <c r="BJ70" s="163">
        <f t="shared" si="60"/>
        <v>1</v>
      </c>
      <c r="BK70" s="163">
        <f t="shared" si="73"/>
        <v>1</v>
      </c>
      <c r="BL70" s="163">
        <f t="shared" si="74"/>
        <v>1</v>
      </c>
      <c r="BM70" s="163">
        <f t="shared" si="75"/>
        <v>6</v>
      </c>
      <c r="BN70" s="163" t="s">
        <v>157</v>
      </c>
      <c r="BO70" s="162" t="str">
        <f t="shared" si="48"/>
        <v/>
      </c>
      <c r="BP70" s="162" t="s">
        <v>1409</v>
      </c>
      <c r="BQ70" s="162" t="s">
        <v>1426</v>
      </c>
    </row>
    <row r="71" spans="1:70">
      <c r="A71" s="159">
        <f t="shared" si="61"/>
        <v>20</v>
      </c>
      <c r="B71" s="159">
        <f t="shared" si="62"/>
        <v>4</v>
      </c>
      <c r="C71" s="160" t="str">
        <f t="shared" si="49"/>
        <v>2004</v>
      </c>
      <c r="D71" s="159" t="s">
        <v>38</v>
      </c>
      <c r="E71" s="161">
        <v>2010</v>
      </c>
      <c r="F71" s="162" t="s">
        <v>345</v>
      </c>
      <c r="G71" s="162" t="s">
        <v>346</v>
      </c>
      <c r="H71" s="163" t="str">
        <f t="shared" si="63"/>
        <v>L</v>
      </c>
      <c r="I71" s="163" t="s">
        <v>157</v>
      </c>
      <c r="J71" s="180" t="s">
        <v>353</v>
      </c>
      <c r="K71" s="163" t="s">
        <v>186</v>
      </c>
      <c r="L71" s="163" t="s">
        <v>151</v>
      </c>
      <c r="M71" s="163" t="str">
        <f t="shared" si="64"/>
        <v>PCV13 vs NoVax</v>
      </c>
      <c r="N71" s="159" t="s">
        <v>331</v>
      </c>
      <c r="O71" s="159">
        <v>3</v>
      </c>
      <c r="P71" s="162" t="s">
        <v>148</v>
      </c>
      <c r="Q71" s="162" t="s">
        <v>153</v>
      </c>
      <c r="R71" s="162" t="s">
        <v>154</v>
      </c>
      <c r="S71" s="162" t="s">
        <v>155</v>
      </c>
      <c r="T71" s="159">
        <v>2005</v>
      </c>
      <c r="U71" s="165">
        <v>3.5</v>
      </c>
      <c r="V71" s="165">
        <f>IF(ISNUMBER(U71),U71/VLOOKUP($S71,xRates!$A$1:$AA$267,data!$T71-xRates!$B$1+2,FALSE),U71)</f>
        <v>3.5</v>
      </c>
      <c r="W71" s="162" t="s">
        <v>349</v>
      </c>
      <c r="Y71" s="165"/>
      <c r="AA71" s="163" t="s">
        <v>157</v>
      </c>
      <c r="AB71" s="162"/>
      <c r="AD71" s="163" t="s">
        <v>157</v>
      </c>
      <c r="AE71" s="162" t="str">
        <f t="shared" si="47"/>
        <v/>
      </c>
      <c r="AF71" s="163" t="s">
        <v>148</v>
      </c>
      <c r="AG71" s="163" t="s">
        <v>148</v>
      </c>
      <c r="AH71" s="163" t="s">
        <v>157</v>
      </c>
      <c r="AJ71" s="162"/>
      <c r="AK71" s="162" t="s">
        <v>354</v>
      </c>
      <c r="AL71" s="163" t="s">
        <v>247</v>
      </c>
      <c r="AM71" s="179">
        <v>570</v>
      </c>
      <c r="AN71" s="179">
        <v>570</v>
      </c>
      <c r="AO71" s="179">
        <f t="shared" si="65"/>
        <v>665.72021570000004</v>
      </c>
      <c r="AP71" s="163" t="str">
        <f t="shared" si="32"/>
        <v>Cost-Effective</v>
      </c>
      <c r="AQ71" s="163" t="str">
        <f t="shared" si="66"/>
        <v>Cost-Effective</v>
      </c>
      <c r="AR71" s="167">
        <f t="shared" si="50"/>
        <v>0.85621554905111164</v>
      </c>
      <c r="AS71" s="167">
        <f t="shared" si="51"/>
        <v>0.69</v>
      </c>
      <c r="AT71" s="159" t="str">
        <f t="shared" si="67"/>
        <v>Not Cost-Effective</v>
      </c>
      <c r="AU71" s="167">
        <f t="shared" si="52"/>
        <v>0.52</v>
      </c>
      <c r="AV71" s="162" t="str">
        <f t="shared" si="68"/>
        <v>Not Cost-Effective</v>
      </c>
      <c r="AW71" s="167">
        <f t="shared" si="53"/>
        <v>0.35973480239731703</v>
      </c>
      <c r="AX71" s="159" t="str">
        <f t="shared" si="69"/>
        <v>Not Cost-Effective</v>
      </c>
      <c r="AY71" s="167">
        <f t="shared" si="54"/>
        <v>1.7130228685586526E-2</v>
      </c>
      <c r="AZ71" s="159" t="str">
        <f t="shared" si="70"/>
        <v>Not Cost-Effective</v>
      </c>
      <c r="BA71" s="167">
        <f t="shared" si="55"/>
        <v>0.25516617130748365</v>
      </c>
      <c r="BB71" s="159" t="str">
        <f t="shared" si="71"/>
        <v>Not Cost-Effective</v>
      </c>
      <c r="BC71" s="167">
        <f t="shared" si="56"/>
        <v>5.0515130360364778E-2</v>
      </c>
      <c r="BD71" s="159" t="str">
        <f t="shared" si="72"/>
        <v>Not Cost-Effective</v>
      </c>
      <c r="BE71" s="162" t="s">
        <v>173</v>
      </c>
      <c r="BF71" s="162" t="s">
        <v>174</v>
      </c>
      <c r="BG71" s="168">
        <f t="shared" si="57"/>
        <v>1</v>
      </c>
      <c r="BH71" s="168">
        <f t="shared" si="58"/>
        <v>1</v>
      </c>
      <c r="BI71" s="163">
        <f t="shared" si="59"/>
        <v>1</v>
      </c>
      <c r="BJ71" s="163">
        <f t="shared" si="60"/>
        <v>1</v>
      </c>
      <c r="BK71" s="163">
        <f t="shared" si="73"/>
        <v>1</v>
      </c>
      <c r="BL71" s="163">
        <f t="shared" si="74"/>
        <v>1</v>
      </c>
      <c r="BM71" s="163">
        <f t="shared" si="75"/>
        <v>6</v>
      </c>
      <c r="BN71" s="163" t="s">
        <v>157</v>
      </c>
      <c r="BO71" s="162" t="str">
        <f t="shared" si="48"/>
        <v/>
      </c>
      <c r="BP71" s="162" t="s">
        <v>1409</v>
      </c>
      <c r="BQ71" s="162" t="s">
        <v>1426</v>
      </c>
    </row>
    <row r="72" spans="1:70">
      <c r="A72" s="159">
        <f t="shared" si="61"/>
        <v>20</v>
      </c>
      <c r="B72" s="159">
        <f t="shared" si="62"/>
        <v>5</v>
      </c>
      <c r="C72" s="160" t="str">
        <f t="shared" si="49"/>
        <v>2005</v>
      </c>
      <c r="D72" s="159" t="s">
        <v>38</v>
      </c>
      <c r="E72" s="161">
        <v>2010</v>
      </c>
      <c r="F72" s="162" t="s">
        <v>345</v>
      </c>
      <c r="G72" s="162" t="s">
        <v>346</v>
      </c>
      <c r="H72" s="163" t="str">
        <f t="shared" si="63"/>
        <v>L</v>
      </c>
      <c r="I72" s="163" t="s">
        <v>157</v>
      </c>
      <c r="J72" s="180" t="s">
        <v>149</v>
      </c>
      <c r="K72" s="163" t="s">
        <v>150</v>
      </c>
      <c r="L72" s="163" t="s">
        <v>151</v>
      </c>
      <c r="M72" s="163" t="str">
        <f t="shared" si="64"/>
        <v>PCV7 vs NoVax</v>
      </c>
      <c r="N72" s="159" t="s">
        <v>331</v>
      </c>
      <c r="O72" s="159">
        <v>3</v>
      </c>
      <c r="P72" s="162" t="s">
        <v>157</v>
      </c>
      <c r="Q72" s="162" t="s">
        <v>153</v>
      </c>
      <c r="R72" s="162" t="s">
        <v>154</v>
      </c>
      <c r="S72" s="162" t="s">
        <v>155</v>
      </c>
      <c r="T72" s="159">
        <v>2005</v>
      </c>
      <c r="U72" s="165">
        <v>3.5</v>
      </c>
      <c r="V72" s="165">
        <f>IF(ISNUMBER(U72),U72/VLOOKUP($S72,xRates!$A$1:$AA$267,data!$T72-xRates!$B$1+2,FALSE),U72)</f>
        <v>3.5</v>
      </c>
      <c r="W72" s="162" t="s">
        <v>355</v>
      </c>
      <c r="Y72" s="165"/>
      <c r="AA72" s="163" t="s">
        <v>148</v>
      </c>
      <c r="AB72" s="162" t="s">
        <v>356</v>
      </c>
      <c r="AC72" s="162" t="s">
        <v>148</v>
      </c>
      <c r="AD72" s="163" t="s">
        <v>148</v>
      </c>
      <c r="AE72" s="162" t="s">
        <v>357</v>
      </c>
      <c r="AF72" s="163" t="s">
        <v>148</v>
      </c>
      <c r="AG72" s="163" t="s">
        <v>148</v>
      </c>
      <c r="AH72" s="163" t="s">
        <v>157</v>
      </c>
      <c r="AJ72" s="162" t="s">
        <v>358</v>
      </c>
      <c r="AK72" s="162" t="s">
        <v>359</v>
      </c>
      <c r="AL72" s="163" t="s">
        <v>247</v>
      </c>
      <c r="AM72" s="179">
        <v>830</v>
      </c>
      <c r="AN72" s="179">
        <f t="shared" ref="AN72:AN88" si="76">AM72</f>
        <v>830</v>
      </c>
      <c r="AO72" s="179">
        <f t="shared" si="65"/>
        <v>665.72021570000004</v>
      </c>
      <c r="AP72" s="163" t="str">
        <f t="shared" ref="AP72:AP136" si="77">IF(AN72="NA", ".", IF(AN72&lt;0,"Cost-Saving",IF(AN72&lt;=AO72,"Cost-Effective",IF(AN72&gt;AO72&amp;AN72&lt;&gt;"NA","Not Cost-Effective","Missing"))))</f>
        <v>Not Cost-Effective</v>
      </c>
      <c r="AQ72" s="163" t="str">
        <f t="shared" si="66"/>
        <v>Cost-Effective</v>
      </c>
      <c r="AR72" s="167">
        <f t="shared" si="50"/>
        <v>1.2467700100217942</v>
      </c>
      <c r="AS72" s="167">
        <f t="shared" si="51"/>
        <v>0.69</v>
      </c>
      <c r="AT72" s="159" t="str">
        <f t="shared" si="67"/>
        <v>Not Cost-Effective</v>
      </c>
      <c r="AU72" s="167">
        <f t="shared" si="52"/>
        <v>0.52</v>
      </c>
      <c r="AV72" s="162" t="str">
        <f t="shared" si="68"/>
        <v>Not Cost-Effective</v>
      </c>
      <c r="AW72" s="167">
        <f t="shared" si="53"/>
        <v>0.35973480239731703</v>
      </c>
      <c r="AX72" s="159" t="str">
        <f t="shared" si="69"/>
        <v>Not Cost-Effective</v>
      </c>
      <c r="AY72" s="167">
        <f t="shared" si="54"/>
        <v>1.7130228685586526E-2</v>
      </c>
      <c r="AZ72" s="159" t="str">
        <f t="shared" si="70"/>
        <v>Not Cost-Effective</v>
      </c>
      <c r="BA72" s="167">
        <f t="shared" si="55"/>
        <v>0.25516617130748365</v>
      </c>
      <c r="BB72" s="159" t="str">
        <f t="shared" si="71"/>
        <v>Not Cost-Effective</v>
      </c>
      <c r="BC72" s="167">
        <f t="shared" si="56"/>
        <v>5.0515130360364778E-2</v>
      </c>
      <c r="BD72" s="159" t="str">
        <f t="shared" si="72"/>
        <v>Not Cost-Effective</v>
      </c>
      <c r="BE72" s="162" t="s">
        <v>173</v>
      </c>
      <c r="BF72" s="162" t="s">
        <v>174</v>
      </c>
      <c r="BG72" s="168">
        <f t="shared" si="57"/>
        <v>1</v>
      </c>
      <c r="BH72" s="168">
        <f t="shared" si="58"/>
        <v>1</v>
      </c>
      <c r="BI72" s="163">
        <f t="shared" si="59"/>
        <v>1</v>
      </c>
      <c r="BJ72" s="163">
        <f t="shared" si="60"/>
        <v>1</v>
      </c>
      <c r="BK72" s="163">
        <f t="shared" si="73"/>
        <v>1</v>
      </c>
      <c r="BL72" s="163">
        <f t="shared" si="74"/>
        <v>1</v>
      </c>
      <c r="BM72" s="163">
        <f t="shared" si="75"/>
        <v>6</v>
      </c>
      <c r="BN72" s="163" t="s">
        <v>157</v>
      </c>
      <c r="BO72" s="162" t="str">
        <f t="shared" si="48"/>
        <v/>
      </c>
      <c r="BP72" s="162" t="s">
        <v>1409</v>
      </c>
      <c r="BQ72" s="162" t="s">
        <v>1426</v>
      </c>
      <c r="BR72" s="162" t="s">
        <v>360</v>
      </c>
    </row>
    <row r="73" spans="1:70">
      <c r="A73" s="159">
        <f t="shared" si="61"/>
        <v>20</v>
      </c>
      <c r="B73" s="159">
        <f t="shared" si="62"/>
        <v>6</v>
      </c>
      <c r="C73" s="160" t="str">
        <f t="shared" si="49"/>
        <v>2006</v>
      </c>
      <c r="D73" s="159" t="s">
        <v>38</v>
      </c>
      <c r="E73" s="161">
        <v>2010</v>
      </c>
      <c r="F73" s="162" t="s">
        <v>345</v>
      </c>
      <c r="G73" s="162" t="s">
        <v>346</v>
      </c>
      <c r="H73" s="163" t="str">
        <f t="shared" si="63"/>
        <v>L</v>
      </c>
      <c r="I73" s="163" t="s">
        <v>157</v>
      </c>
      <c r="J73" s="180" t="s">
        <v>352</v>
      </c>
      <c r="K73" s="163" t="s">
        <v>183</v>
      </c>
      <c r="L73" s="163" t="s">
        <v>151</v>
      </c>
      <c r="M73" s="163" t="str">
        <f t="shared" si="64"/>
        <v>PCV10 vs NoVax</v>
      </c>
      <c r="N73" s="159" t="s">
        <v>331</v>
      </c>
      <c r="O73" s="159">
        <v>3</v>
      </c>
      <c r="P73" s="162" t="s">
        <v>157</v>
      </c>
      <c r="Q73" s="162" t="s">
        <v>153</v>
      </c>
      <c r="R73" s="162" t="s">
        <v>154</v>
      </c>
      <c r="S73" s="162" t="s">
        <v>155</v>
      </c>
      <c r="T73" s="159">
        <v>2005</v>
      </c>
      <c r="U73" s="165">
        <v>3.5</v>
      </c>
      <c r="V73" s="165">
        <f>IF(ISNUMBER(U73),U73/VLOOKUP($S73,xRates!$A$1:$AA$267,data!$T73-xRates!$B$1+2,FALSE),U73)</f>
        <v>3.5</v>
      </c>
      <c r="W73" s="162" t="s">
        <v>355</v>
      </c>
      <c r="Y73" s="165"/>
      <c r="AA73" s="163" t="s">
        <v>148</v>
      </c>
      <c r="AB73" s="162" t="s">
        <v>356</v>
      </c>
      <c r="AC73" s="162" t="s">
        <v>148</v>
      </c>
      <c r="AD73" s="163" t="s">
        <v>148</v>
      </c>
      <c r="AE73" s="162" t="s">
        <v>357</v>
      </c>
      <c r="AF73" s="163" t="s">
        <v>148</v>
      </c>
      <c r="AG73" s="163" t="s">
        <v>148</v>
      </c>
      <c r="AH73" s="163" t="s">
        <v>157</v>
      </c>
      <c r="AJ73" s="162" t="s">
        <v>358</v>
      </c>
      <c r="AK73" s="162" t="s">
        <v>361</v>
      </c>
      <c r="AL73" s="163" t="s">
        <v>247</v>
      </c>
      <c r="AM73" s="179">
        <v>550</v>
      </c>
      <c r="AN73" s="179">
        <f t="shared" si="76"/>
        <v>550</v>
      </c>
      <c r="AO73" s="179">
        <f t="shared" si="65"/>
        <v>665.72021570000004</v>
      </c>
      <c r="AP73" s="163" t="str">
        <f t="shared" si="77"/>
        <v>Cost-Effective</v>
      </c>
      <c r="AQ73" s="163" t="str">
        <f t="shared" si="66"/>
        <v>Cost-Effective</v>
      </c>
      <c r="AR73" s="167">
        <f t="shared" si="50"/>
        <v>0.82617289820721296</v>
      </c>
      <c r="AS73" s="167">
        <f t="shared" si="51"/>
        <v>0.69</v>
      </c>
      <c r="AT73" s="159" t="str">
        <f t="shared" si="67"/>
        <v>Not Cost-Effective</v>
      </c>
      <c r="AU73" s="167">
        <f t="shared" si="52"/>
        <v>0.52</v>
      </c>
      <c r="AV73" s="162" t="str">
        <f t="shared" si="68"/>
        <v>Not Cost-Effective</v>
      </c>
      <c r="AW73" s="167">
        <f t="shared" si="53"/>
        <v>0.35973480239731703</v>
      </c>
      <c r="AX73" s="159" t="str">
        <f t="shared" si="69"/>
        <v>Not Cost-Effective</v>
      </c>
      <c r="AY73" s="167">
        <f t="shared" si="54"/>
        <v>1.7130228685586526E-2</v>
      </c>
      <c r="AZ73" s="159" t="str">
        <f t="shared" si="70"/>
        <v>Not Cost-Effective</v>
      </c>
      <c r="BA73" s="167">
        <f t="shared" si="55"/>
        <v>0.25516617130748365</v>
      </c>
      <c r="BB73" s="159" t="str">
        <f t="shared" si="71"/>
        <v>Not Cost-Effective</v>
      </c>
      <c r="BC73" s="167">
        <f t="shared" si="56"/>
        <v>5.0515130360364778E-2</v>
      </c>
      <c r="BD73" s="159" t="str">
        <f t="shared" si="72"/>
        <v>Not Cost-Effective</v>
      </c>
      <c r="BE73" s="162" t="s">
        <v>173</v>
      </c>
      <c r="BF73" s="162" t="s">
        <v>174</v>
      </c>
      <c r="BG73" s="168">
        <f t="shared" si="57"/>
        <v>1</v>
      </c>
      <c r="BH73" s="168">
        <f t="shared" si="58"/>
        <v>1</v>
      </c>
      <c r="BI73" s="163">
        <f t="shared" si="59"/>
        <v>1</v>
      </c>
      <c r="BJ73" s="163">
        <f t="shared" si="60"/>
        <v>1</v>
      </c>
      <c r="BK73" s="163">
        <f t="shared" si="73"/>
        <v>1</v>
      </c>
      <c r="BL73" s="163">
        <f t="shared" si="74"/>
        <v>1</v>
      </c>
      <c r="BM73" s="163">
        <f t="shared" si="75"/>
        <v>6</v>
      </c>
      <c r="BN73" s="163" t="s">
        <v>157</v>
      </c>
      <c r="BO73" s="162" t="str">
        <f t="shared" si="48"/>
        <v/>
      </c>
      <c r="BP73" s="162" t="s">
        <v>1409</v>
      </c>
      <c r="BQ73" s="162" t="s">
        <v>1426</v>
      </c>
      <c r="BR73" s="162" t="s">
        <v>360</v>
      </c>
    </row>
    <row r="74" spans="1:70">
      <c r="A74" s="159">
        <f t="shared" si="61"/>
        <v>20</v>
      </c>
      <c r="B74" s="159">
        <f t="shared" si="62"/>
        <v>7</v>
      </c>
      <c r="C74" s="160" t="str">
        <f t="shared" si="49"/>
        <v>2007</v>
      </c>
      <c r="D74" s="159" t="s">
        <v>38</v>
      </c>
      <c r="E74" s="161">
        <v>2010</v>
      </c>
      <c r="F74" s="162" t="s">
        <v>345</v>
      </c>
      <c r="G74" s="162" t="s">
        <v>346</v>
      </c>
      <c r="H74" s="163" t="str">
        <f t="shared" si="63"/>
        <v>L</v>
      </c>
      <c r="I74" s="163" t="s">
        <v>157</v>
      </c>
      <c r="J74" s="180" t="s">
        <v>353</v>
      </c>
      <c r="K74" s="163" t="s">
        <v>186</v>
      </c>
      <c r="L74" s="163" t="s">
        <v>151</v>
      </c>
      <c r="M74" s="163" t="str">
        <f t="shared" si="64"/>
        <v>PCV13 vs NoVax</v>
      </c>
      <c r="N74" s="159" t="s">
        <v>331</v>
      </c>
      <c r="O74" s="159">
        <v>3</v>
      </c>
      <c r="P74" s="162" t="s">
        <v>157</v>
      </c>
      <c r="Q74" s="162" t="s">
        <v>153</v>
      </c>
      <c r="R74" s="162" t="s">
        <v>154</v>
      </c>
      <c r="S74" s="162" t="s">
        <v>155</v>
      </c>
      <c r="T74" s="159">
        <v>2005</v>
      </c>
      <c r="U74" s="165">
        <v>3.5</v>
      </c>
      <c r="V74" s="165">
        <f>IF(ISNUMBER(U74),U74/VLOOKUP($S74,xRates!$A$1:$AA$267,data!$T74-xRates!$B$1+2,FALSE),U74)</f>
        <v>3.5</v>
      </c>
      <c r="W74" s="162" t="s">
        <v>355</v>
      </c>
      <c r="Y74" s="165"/>
      <c r="AA74" s="163" t="s">
        <v>148</v>
      </c>
      <c r="AB74" s="162" t="s">
        <v>356</v>
      </c>
      <c r="AC74" s="162" t="s">
        <v>148</v>
      </c>
      <c r="AD74" s="163" t="s">
        <v>148</v>
      </c>
      <c r="AE74" s="162" t="s">
        <v>357</v>
      </c>
      <c r="AF74" s="163" t="s">
        <v>148</v>
      </c>
      <c r="AG74" s="163" t="s">
        <v>148</v>
      </c>
      <c r="AH74" s="163" t="s">
        <v>157</v>
      </c>
      <c r="AJ74" s="162" t="s">
        <v>358</v>
      </c>
      <c r="AK74" s="162" t="s">
        <v>362</v>
      </c>
      <c r="AL74" s="163" t="s">
        <v>247</v>
      </c>
      <c r="AM74" s="179">
        <v>480</v>
      </c>
      <c r="AN74" s="179">
        <f t="shared" si="76"/>
        <v>480</v>
      </c>
      <c r="AO74" s="179">
        <f t="shared" si="65"/>
        <v>665.72021570000004</v>
      </c>
      <c r="AP74" s="163" t="str">
        <f t="shared" si="77"/>
        <v>Cost-Effective</v>
      </c>
      <c r="AQ74" s="163" t="str">
        <f t="shared" si="66"/>
        <v>Cost-Effective</v>
      </c>
      <c r="AR74" s="167">
        <f t="shared" si="50"/>
        <v>0.7210236202535677</v>
      </c>
      <c r="AS74" s="167">
        <f t="shared" si="51"/>
        <v>0.69</v>
      </c>
      <c r="AT74" s="159" t="str">
        <f t="shared" si="67"/>
        <v>Not Cost-Effective</v>
      </c>
      <c r="AU74" s="167">
        <f t="shared" si="52"/>
        <v>0.52</v>
      </c>
      <c r="AV74" s="162" t="str">
        <f t="shared" si="68"/>
        <v>Not Cost-Effective</v>
      </c>
      <c r="AW74" s="167">
        <f t="shared" si="53"/>
        <v>0.35973480239731703</v>
      </c>
      <c r="AX74" s="159" t="str">
        <f t="shared" si="69"/>
        <v>Not Cost-Effective</v>
      </c>
      <c r="AY74" s="167">
        <f t="shared" si="54"/>
        <v>1.7130228685586526E-2</v>
      </c>
      <c r="AZ74" s="159" t="str">
        <f t="shared" si="70"/>
        <v>Not Cost-Effective</v>
      </c>
      <c r="BA74" s="167">
        <f t="shared" si="55"/>
        <v>0.25516617130748365</v>
      </c>
      <c r="BB74" s="159" t="str">
        <f t="shared" si="71"/>
        <v>Not Cost-Effective</v>
      </c>
      <c r="BC74" s="167">
        <f t="shared" si="56"/>
        <v>5.0515130360364778E-2</v>
      </c>
      <c r="BD74" s="159" t="str">
        <f t="shared" si="72"/>
        <v>Not Cost-Effective</v>
      </c>
      <c r="BE74" s="162" t="s">
        <v>173</v>
      </c>
      <c r="BF74" s="162" t="s">
        <v>174</v>
      </c>
      <c r="BG74" s="168">
        <f t="shared" si="57"/>
        <v>1</v>
      </c>
      <c r="BH74" s="168">
        <f t="shared" si="58"/>
        <v>1</v>
      </c>
      <c r="BI74" s="163">
        <f t="shared" si="59"/>
        <v>1</v>
      </c>
      <c r="BJ74" s="163">
        <f t="shared" si="60"/>
        <v>1</v>
      </c>
      <c r="BK74" s="163">
        <f t="shared" si="73"/>
        <v>1</v>
      </c>
      <c r="BL74" s="163">
        <f t="shared" si="74"/>
        <v>1</v>
      </c>
      <c r="BM74" s="163">
        <f t="shared" si="75"/>
        <v>6</v>
      </c>
      <c r="BN74" s="163" t="s">
        <v>157</v>
      </c>
      <c r="BO74" s="162" t="str">
        <f t="shared" si="48"/>
        <v/>
      </c>
      <c r="BP74" s="162" t="s">
        <v>1409</v>
      </c>
      <c r="BQ74" s="162" t="s">
        <v>1426</v>
      </c>
      <c r="BR74" s="162" t="s">
        <v>360</v>
      </c>
    </row>
    <row r="75" spans="1:70">
      <c r="A75" s="159">
        <f t="shared" si="61"/>
        <v>21</v>
      </c>
      <c r="B75" s="159">
        <f t="shared" si="62"/>
        <v>1</v>
      </c>
      <c r="C75" s="160" t="str">
        <f t="shared" si="49"/>
        <v>2101</v>
      </c>
      <c r="D75" s="159" t="s">
        <v>363</v>
      </c>
      <c r="E75" s="161">
        <v>2011</v>
      </c>
      <c r="F75" s="162" t="s">
        <v>364</v>
      </c>
      <c r="G75" s="162" t="s">
        <v>365</v>
      </c>
      <c r="H75" s="163" t="str">
        <f t="shared" si="63"/>
        <v>UM</v>
      </c>
      <c r="I75" s="163" t="s">
        <v>157</v>
      </c>
      <c r="J75" s="180" t="s">
        <v>352</v>
      </c>
      <c r="K75" s="163" t="s">
        <v>183</v>
      </c>
      <c r="L75" s="163" t="s">
        <v>151</v>
      </c>
      <c r="M75" s="163" t="str">
        <f t="shared" si="64"/>
        <v>PCV10 vs NoVax</v>
      </c>
      <c r="N75" s="159" t="s">
        <v>198</v>
      </c>
      <c r="O75" s="159">
        <v>4</v>
      </c>
      <c r="P75" s="162" t="s">
        <v>148</v>
      </c>
      <c r="Q75" s="162" t="s">
        <v>167</v>
      </c>
      <c r="R75" s="162" t="s">
        <v>154</v>
      </c>
      <c r="S75" s="162" t="s">
        <v>155</v>
      </c>
      <c r="T75" s="159">
        <v>2009</v>
      </c>
      <c r="U75" s="165">
        <v>20.75</v>
      </c>
      <c r="V75" s="165">
        <f>IF(ISNUMBER(U75),U75/VLOOKUP($S75,xRates!$A$1:$AA$267,data!$T75-xRates!$B$1+2,FALSE),U75)</f>
        <v>20.75</v>
      </c>
      <c r="W75" s="162" t="s">
        <v>366</v>
      </c>
      <c r="Y75" s="165"/>
      <c r="AA75" s="163" t="s">
        <v>157</v>
      </c>
      <c r="AB75" s="162"/>
      <c r="AD75" s="163" t="s">
        <v>157</v>
      </c>
      <c r="AE75" s="162" t="str">
        <f t="shared" ref="AE75:AE83" si="78">IF(AD75="No", "", "")</f>
        <v/>
      </c>
      <c r="AF75" s="163" t="s">
        <v>148</v>
      </c>
      <c r="AG75" s="163" t="s">
        <v>148</v>
      </c>
      <c r="AH75" s="163" t="s">
        <v>148</v>
      </c>
      <c r="AJ75" s="162"/>
      <c r="AK75" s="162" t="s">
        <v>367</v>
      </c>
      <c r="AL75" s="163" t="s">
        <v>247</v>
      </c>
      <c r="AM75" s="179">
        <v>8973</v>
      </c>
      <c r="AN75" s="179">
        <f t="shared" si="76"/>
        <v>8973</v>
      </c>
      <c r="AO75" s="179">
        <f t="shared" si="65"/>
        <v>8225.1375829999997</v>
      </c>
      <c r="AP75" s="163" t="str">
        <f t="shared" si="77"/>
        <v>Not Cost-Effective</v>
      </c>
      <c r="AQ75" s="163" t="str">
        <f>IF(AN75="NA", ".", IF(AN75&lt;0,"Cost-Saving",IF(AN75&lt;=AO75*3,"Cost-Effective",IF(AN75&gt;AO75*3&amp;AN75&lt;&gt;"NA","Not Cost-Effective","Missing"))))</f>
        <v>Cost-Effective</v>
      </c>
      <c r="AR75" s="167">
        <f t="shared" si="50"/>
        <v>1.0909240009000831</v>
      </c>
      <c r="AS75" s="167">
        <f t="shared" si="51"/>
        <v>0.56000000000000005</v>
      </c>
      <c r="AT75" s="159" t="str">
        <f t="shared" si="67"/>
        <v>Not Cost-Effective</v>
      </c>
      <c r="AU75" s="167">
        <f t="shared" si="52"/>
        <v>0.37</v>
      </c>
      <c r="AV75" s="162" t="str">
        <f t="shared" si="68"/>
        <v>Not Cost-Effective</v>
      </c>
      <c r="AW75" s="167" t="str">
        <f t="shared" si="53"/>
        <v>.</v>
      </c>
      <c r="AX75" s="159" t="str">
        <f t="shared" si="69"/>
        <v>.</v>
      </c>
      <c r="AY75" s="167" t="str">
        <f t="shared" si="54"/>
        <v>.</v>
      </c>
      <c r="AZ75" s="159" t="str">
        <f t="shared" si="70"/>
        <v>.</v>
      </c>
      <c r="BA75" s="167">
        <f t="shared" si="55"/>
        <v>1.6326529897923321</v>
      </c>
      <c r="BB75" s="159" t="str">
        <f t="shared" si="71"/>
        <v>Cost-Effective</v>
      </c>
      <c r="BC75" s="167">
        <f t="shared" si="56"/>
        <v>0.67666749470350318</v>
      </c>
      <c r="BD75" s="159" t="str">
        <f t="shared" si="72"/>
        <v>Not Cost-Effective</v>
      </c>
      <c r="BE75" s="162" t="s">
        <v>173</v>
      </c>
      <c r="BF75" s="162" t="s">
        <v>174</v>
      </c>
      <c r="BG75" s="168">
        <f t="shared" si="57"/>
        <v>1</v>
      </c>
      <c r="BH75" s="168">
        <f t="shared" si="58"/>
        <v>1</v>
      </c>
      <c r="BI75" s="163">
        <f t="shared" si="59"/>
        <v>0</v>
      </c>
      <c r="BJ75" s="163">
        <f t="shared" si="60"/>
        <v>0</v>
      </c>
      <c r="BK75" s="163">
        <f t="shared" si="73"/>
        <v>1</v>
      </c>
      <c r="BL75" s="163">
        <f t="shared" si="74"/>
        <v>0</v>
      </c>
      <c r="BM75" s="163">
        <f t="shared" si="75"/>
        <v>3</v>
      </c>
      <c r="BN75" s="163" t="s">
        <v>157</v>
      </c>
      <c r="BO75" s="162" t="str">
        <f t="shared" si="48"/>
        <v/>
      </c>
      <c r="BP75" s="162" t="s">
        <v>1403</v>
      </c>
      <c r="BQ75" s="162" t="s">
        <v>1403</v>
      </c>
    </row>
    <row r="76" spans="1:70">
      <c r="A76" s="159">
        <f t="shared" si="61"/>
        <v>21</v>
      </c>
      <c r="B76" s="159">
        <f t="shared" si="62"/>
        <v>2</v>
      </c>
      <c r="C76" s="160" t="str">
        <f t="shared" si="49"/>
        <v>2102</v>
      </c>
      <c r="D76" s="159" t="s">
        <v>363</v>
      </c>
      <c r="E76" s="161">
        <v>2011</v>
      </c>
      <c r="F76" s="162" t="s">
        <v>364</v>
      </c>
      <c r="G76" s="162" t="s">
        <v>365</v>
      </c>
      <c r="H76" s="163" t="str">
        <f t="shared" si="63"/>
        <v>UM</v>
      </c>
      <c r="I76" s="163" t="s">
        <v>157</v>
      </c>
      <c r="J76" s="180" t="s">
        <v>352</v>
      </c>
      <c r="K76" s="163" t="s">
        <v>183</v>
      </c>
      <c r="L76" s="163" t="s">
        <v>151</v>
      </c>
      <c r="M76" s="163" t="str">
        <f t="shared" si="64"/>
        <v>PCV10 vs NoVax</v>
      </c>
      <c r="N76" s="159" t="s">
        <v>198</v>
      </c>
      <c r="O76" s="159">
        <v>4</v>
      </c>
      <c r="P76" s="162" t="s">
        <v>157</v>
      </c>
      <c r="Q76" s="162" t="s">
        <v>153</v>
      </c>
      <c r="R76" s="162" t="s">
        <v>154</v>
      </c>
      <c r="S76" s="162" t="s">
        <v>155</v>
      </c>
      <c r="T76" s="159">
        <v>2009</v>
      </c>
      <c r="U76" s="165">
        <v>20.75</v>
      </c>
      <c r="V76" s="165">
        <f>IF(ISNUMBER(U76),U76/VLOOKUP($S76,xRates!$A$1:$AA$267,data!$T76-xRates!$B$1+2,FALSE),U76)</f>
        <v>20.75</v>
      </c>
      <c r="W76" s="162" t="s">
        <v>366</v>
      </c>
      <c r="Y76" s="165"/>
      <c r="AA76" s="163" t="s">
        <v>157</v>
      </c>
      <c r="AB76" s="162"/>
      <c r="AD76" s="163" t="s">
        <v>157</v>
      </c>
      <c r="AE76" s="162" t="str">
        <f t="shared" si="78"/>
        <v/>
      </c>
      <c r="AF76" s="163" t="s">
        <v>148</v>
      </c>
      <c r="AG76" s="163" t="s">
        <v>148</v>
      </c>
      <c r="AH76" s="163" t="s">
        <v>148</v>
      </c>
      <c r="AJ76" s="162"/>
      <c r="AK76" s="162" t="s">
        <v>368</v>
      </c>
      <c r="AL76" s="163" t="s">
        <v>247</v>
      </c>
      <c r="AM76" s="179">
        <v>8546</v>
      </c>
      <c r="AN76" s="179">
        <f t="shared" si="76"/>
        <v>8546</v>
      </c>
      <c r="AO76" s="179">
        <f t="shared" si="65"/>
        <v>8225.1375829999997</v>
      </c>
      <c r="AP76" s="163" t="str">
        <f t="shared" si="77"/>
        <v>Not Cost-Effective</v>
      </c>
      <c r="AQ76" s="163" t="str">
        <f t="shared" si="66"/>
        <v>Cost-Effective</v>
      </c>
      <c r="AR76" s="167">
        <f t="shared" si="50"/>
        <v>1.0390099756705797</v>
      </c>
      <c r="AS76" s="167">
        <f t="shared" si="51"/>
        <v>0.56000000000000005</v>
      </c>
      <c r="AT76" s="159" t="str">
        <f t="shared" si="67"/>
        <v>Not Cost-Effective</v>
      </c>
      <c r="AU76" s="167">
        <f t="shared" si="52"/>
        <v>0.37</v>
      </c>
      <c r="AV76" s="162" t="str">
        <f t="shared" si="68"/>
        <v>Not Cost-Effective</v>
      </c>
      <c r="AW76" s="167" t="str">
        <f t="shared" si="53"/>
        <v>.</v>
      </c>
      <c r="AX76" s="159" t="str">
        <f t="shared" si="69"/>
        <v>.</v>
      </c>
      <c r="AY76" s="167" t="str">
        <f t="shared" si="54"/>
        <v>.</v>
      </c>
      <c r="AZ76" s="159" t="str">
        <f t="shared" si="70"/>
        <v>.</v>
      </c>
      <c r="BA76" s="167">
        <f t="shared" si="55"/>
        <v>1.6326529897923321</v>
      </c>
      <c r="BB76" s="159" t="str">
        <f t="shared" si="71"/>
        <v>Cost-Effective</v>
      </c>
      <c r="BC76" s="167">
        <f t="shared" si="56"/>
        <v>0.67666749470350318</v>
      </c>
      <c r="BD76" s="159" t="str">
        <f t="shared" si="72"/>
        <v>Not Cost-Effective</v>
      </c>
      <c r="BE76" s="162" t="s">
        <v>173</v>
      </c>
      <c r="BF76" s="162" t="s">
        <v>174</v>
      </c>
      <c r="BG76" s="168">
        <f t="shared" si="57"/>
        <v>1</v>
      </c>
      <c r="BH76" s="168">
        <f t="shared" si="58"/>
        <v>1</v>
      </c>
      <c r="BI76" s="163">
        <f t="shared" si="59"/>
        <v>0</v>
      </c>
      <c r="BJ76" s="163">
        <f t="shared" si="60"/>
        <v>0</v>
      </c>
      <c r="BK76" s="163">
        <f t="shared" si="73"/>
        <v>1</v>
      </c>
      <c r="BL76" s="163">
        <f t="shared" si="74"/>
        <v>0</v>
      </c>
      <c r="BM76" s="163">
        <f t="shared" si="75"/>
        <v>3</v>
      </c>
      <c r="BN76" s="163" t="s">
        <v>157</v>
      </c>
      <c r="BO76" s="162" t="str">
        <f t="shared" si="48"/>
        <v/>
      </c>
      <c r="BP76" s="162" t="s">
        <v>1403</v>
      </c>
      <c r="BQ76" s="162" t="s">
        <v>1403</v>
      </c>
    </row>
    <row r="77" spans="1:70">
      <c r="A77" s="159">
        <f t="shared" si="61"/>
        <v>21</v>
      </c>
      <c r="B77" s="159">
        <f t="shared" si="62"/>
        <v>3</v>
      </c>
      <c r="C77" s="160" t="str">
        <f t="shared" si="49"/>
        <v>2103</v>
      </c>
      <c r="D77" s="159" t="s">
        <v>363</v>
      </c>
      <c r="E77" s="161">
        <v>2011</v>
      </c>
      <c r="F77" s="162" t="s">
        <v>364</v>
      </c>
      <c r="G77" s="162" t="s">
        <v>365</v>
      </c>
      <c r="H77" s="163" t="str">
        <f t="shared" si="63"/>
        <v>UM</v>
      </c>
      <c r="I77" s="163" t="s">
        <v>157</v>
      </c>
      <c r="J77" s="180" t="s">
        <v>353</v>
      </c>
      <c r="K77" s="163" t="s">
        <v>186</v>
      </c>
      <c r="L77" s="163" t="s">
        <v>151</v>
      </c>
      <c r="M77" s="163" t="str">
        <f t="shared" si="64"/>
        <v>PCV13 vs NoVax</v>
      </c>
      <c r="N77" s="159" t="s">
        <v>198</v>
      </c>
      <c r="O77" s="159">
        <v>4</v>
      </c>
      <c r="P77" s="162" t="s">
        <v>148</v>
      </c>
      <c r="Q77" s="162" t="s">
        <v>167</v>
      </c>
      <c r="R77" s="162" t="s">
        <v>154</v>
      </c>
      <c r="S77" s="162" t="s">
        <v>155</v>
      </c>
      <c r="T77" s="159">
        <v>2009</v>
      </c>
      <c r="U77" s="165">
        <v>20.75</v>
      </c>
      <c r="V77" s="165">
        <f>IF(ISNUMBER(U77),U77/VLOOKUP($S77,xRates!$A$1:$AA$267,data!$T77-xRates!$B$1+2,FALSE),U77)</f>
        <v>20.75</v>
      </c>
      <c r="W77" s="162" t="s">
        <v>366</v>
      </c>
      <c r="Y77" s="165"/>
      <c r="AA77" s="163" t="s">
        <v>157</v>
      </c>
      <c r="AB77" s="162"/>
      <c r="AD77" s="163" t="s">
        <v>157</v>
      </c>
      <c r="AE77" s="162" t="str">
        <f t="shared" si="78"/>
        <v/>
      </c>
      <c r="AF77" s="163" t="s">
        <v>148</v>
      </c>
      <c r="AG77" s="163" t="s">
        <v>148</v>
      </c>
      <c r="AH77" s="163" t="s">
        <v>148</v>
      </c>
      <c r="AJ77" s="162"/>
      <c r="AK77" s="162" t="s">
        <v>369</v>
      </c>
      <c r="AL77" s="163" t="s">
        <v>247</v>
      </c>
      <c r="AM77" s="179">
        <v>10948</v>
      </c>
      <c r="AN77" s="179">
        <f t="shared" si="76"/>
        <v>10948</v>
      </c>
      <c r="AO77" s="179">
        <f t="shared" si="65"/>
        <v>8225.1375829999997</v>
      </c>
      <c r="AP77" s="163" t="str">
        <f t="shared" si="77"/>
        <v>Not Cost-Effective</v>
      </c>
      <c r="AQ77" s="163" t="str">
        <f t="shared" si="66"/>
        <v>Cost-Effective</v>
      </c>
      <c r="AR77" s="167">
        <f t="shared" si="50"/>
        <v>1.3310415649007146</v>
      </c>
      <c r="AS77" s="167">
        <f t="shared" si="51"/>
        <v>0.56000000000000005</v>
      </c>
      <c r="AT77" s="159" t="str">
        <f t="shared" si="67"/>
        <v>Not Cost-Effective</v>
      </c>
      <c r="AU77" s="167">
        <f t="shared" si="52"/>
        <v>0.37</v>
      </c>
      <c r="AV77" s="162" t="str">
        <f t="shared" si="68"/>
        <v>Not Cost-Effective</v>
      </c>
      <c r="AW77" s="167" t="str">
        <f t="shared" si="53"/>
        <v>.</v>
      </c>
      <c r="AX77" s="159" t="str">
        <f t="shared" si="69"/>
        <v>.</v>
      </c>
      <c r="AY77" s="167" t="str">
        <f t="shared" si="54"/>
        <v>.</v>
      </c>
      <c r="AZ77" s="159" t="str">
        <f t="shared" si="70"/>
        <v>.</v>
      </c>
      <c r="BA77" s="167">
        <f t="shared" si="55"/>
        <v>1.6326529897923321</v>
      </c>
      <c r="BB77" s="159" t="str">
        <f t="shared" si="71"/>
        <v>Cost-Effective</v>
      </c>
      <c r="BC77" s="167">
        <f t="shared" si="56"/>
        <v>0.67666749470350318</v>
      </c>
      <c r="BD77" s="159" t="str">
        <f t="shared" si="72"/>
        <v>Not Cost-Effective</v>
      </c>
      <c r="BE77" s="162" t="s">
        <v>173</v>
      </c>
      <c r="BF77" s="162" t="s">
        <v>174</v>
      </c>
      <c r="BG77" s="168">
        <f t="shared" si="57"/>
        <v>1</v>
      </c>
      <c r="BH77" s="168">
        <f t="shared" si="58"/>
        <v>1</v>
      </c>
      <c r="BI77" s="163">
        <f t="shared" si="59"/>
        <v>0</v>
      </c>
      <c r="BJ77" s="163">
        <f t="shared" si="60"/>
        <v>0</v>
      </c>
      <c r="BK77" s="163">
        <f t="shared" si="73"/>
        <v>1</v>
      </c>
      <c r="BL77" s="163">
        <f t="shared" si="74"/>
        <v>0</v>
      </c>
      <c r="BM77" s="163">
        <f t="shared" si="75"/>
        <v>3</v>
      </c>
      <c r="BN77" s="163" t="s">
        <v>157</v>
      </c>
      <c r="BO77" s="162" t="str">
        <f t="shared" si="48"/>
        <v/>
      </c>
      <c r="BP77" s="162" t="s">
        <v>1403</v>
      </c>
      <c r="BQ77" s="162" t="s">
        <v>1403</v>
      </c>
    </row>
    <row r="78" spans="1:70">
      <c r="A78" s="159">
        <f t="shared" si="61"/>
        <v>21</v>
      </c>
      <c r="B78" s="159">
        <f t="shared" si="62"/>
        <v>4</v>
      </c>
      <c r="C78" s="160" t="str">
        <f t="shared" si="49"/>
        <v>2104</v>
      </c>
      <c r="D78" s="159" t="s">
        <v>363</v>
      </c>
      <c r="E78" s="161">
        <v>2011</v>
      </c>
      <c r="F78" s="162" t="s">
        <v>364</v>
      </c>
      <c r="G78" s="162" t="s">
        <v>365</v>
      </c>
      <c r="H78" s="163" t="str">
        <f t="shared" si="63"/>
        <v>UM</v>
      </c>
      <c r="I78" s="163" t="s">
        <v>157</v>
      </c>
      <c r="J78" s="180" t="s">
        <v>353</v>
      </c>
      <c r="K78" s="163" t="s">
        <v>186</v>
      </c>
      <c r="L78" s="163" t="s">
        <v>151</v>
      </c>
      <c r="M78" s="163" t="str">
        <f t="shared" si="64"/>
        <v>PCV13 vs NoVax</v>
      </c>
      <c r="N78" s="159" t="s">
        <v>198</v>
      </c>
      <c r="O78" s="159">
        <v>4</v>
      </c>
      <c r="P78" s="162" t="s">
        <v>157</v>
      </c>
      <c r="Q78" s="162" t="s">
        <v>153</v>
      </c>
      <c r="R78" s="162" t="s">
        <v>154</v>
      </c>
      <c r="S78" s="162" t="s">
        <v>155</v>
      </c>
      <c r="T78" s="159">
        <v>2009</v>
      </c>
      <c r="U78" s="165">
        <v>20.75</v>
      </c>
      <c r="V78" s="165">
        <f>IF(ISNUMBER(U78),U78/VLOOKUP($S78,xRates!$A$1:$AA$267,data!$T78-xRates!$B$1+2,FALSE),U78)</f>
        <v>20.75</v>
      </c>
      <c r="W78" s="162" t="s">
        <v>366</v>
      </c>
      <c r="Y78" s="165"/>
      <c r="AA78" s="163" t="s">
        <v>157</v>
      </c>
      <c r="AB78" s="162"/>
      <c r="AD78" s="163" t="s">
        <v>157</v>
      </c>
      <c r="AE78" s="162" t="str">
        <f t="shared" si="78"/>
        <v/>
      </c>
      <c r="AF78" s="163" t="s">
        <v>148</v>
      </c>
      <c r="AG78" s="163" t="s">
        <v>148</v>
      </c>
      <c r="AH78" s="163" t="s">
        <v>148</v>
      </c>
      <c r="AJ78" s="162"/>
      <c r="AK78" s="162" t="s">
        <v>370</v>
      </c>
      <c r="AL78" s="163" t="s">
        <v>247</v>
      </c>
      <c r="AM78" s="179">
        <v>10510</v>
      </c>
      <c r="AN78" s="179">
        <f t="shared" si="76"/>
        <v>10510</v>
      </c>
      <c r="AO78" s="179">
        <f t="shared" si="65"/>
        <v>8225.1375829999997</v>
      </c>
      <c r="AP78" s="163" t="str">
        <f t="shared" si="77"/>
        <v>Not Cost-Effective</v>
      </c>
      <c r="AQ78" s="163" t="str">
        <f t="shared" si="66"/>
        <v>Cost-Effective</v>
      </c>
      <c r="AR78" s="167">
        <f t="shared" si="50"/>
        <v>1.2777901760236126</v>
      </c>
      <c r="AS78" s="167">
        <f t="shared" si="51"/>
        <v>0.56000000000000005</v>
      </c>
      <c r="AT78" s="159" t="str">
        <f t="shared" si="67"/>
        <v>Not Cost-Effective</v>
      </c>
      <c r="AU78" s="167">
        <f t="shared" si="52"/>
        <v>0.37</v>
      </c>
      <c r="AV78" s="162" t="str">
        <f t="shared" si="68"/>
        <v>Not Cost-Effective</v>
      </c>
      <c r="AW78" s="167" t="str">
        <f t="shared" si="53"/>
        <v>.</v>
      </c>
      <c r="AX78" s="159" t="str">
        <f t="shared" si="69"/>
        <v>.</v>
      </c>
      <c r="AY78" s="167" t="str">
        <f t="shared" si="54"/>
        <v>.</v>
      </c>
      <c r="AZ78" s="159" t="str">
        <f t="shared" si="70"/>
        <v>.</v>
      </c>
      <c r="BA78" s="167">
        <f t="shared" si="55"/>
        <v>1.6326529897923321</v>
      </c>
      <c r="BB78" s="159" t="str">
        <f t="shared" si="71"/>
        <v>Cost-Effective</v>
      </c>
      <c r="BC78" s="167">
        <f t="shared" si="56"/>
        <v>0.67666749470350318</v>
      </c>
      <c r="BD78" s="159" t="str">
        <f t="shared" si="72"/>
        <v>Not Cost-Effective</v>
      </c>
      <c r="BE78" s="162" t="s">
        <v>173</v>
      </c>
      <c r="BF78" s="162" t="s">
        <v>174</v>
      </c>
      <c r="BG78" s="168">
        <f t="shared" si="57"/>
        <v>1</v>
      </c>
      <c r="BH78" s="168">
        <f t="shared" si="58"/>
        <v>1</v>
      </c>
      <c r="BI78" s="163">
        <f t="shared" si="59"/>
        <v>0</v>
      </c>
      <c r="BJ78" s="163">
        <f t="shared" si="60"/>
        <v>0</v>
      </c>
      <c r="BK78" s="163">
        <f t="shared" si="73"/>
        <v>1</v>
      </c>
      <c r="BL78" s="163">
        <f t="shared" si="74"/>
        <v>0</v>
      </c>
      <c r="BM78" s="163">
        <f t="shared" si="75"/>
        <v>3</v>
      </c>
      <c r="BN78" s="163" t="s">
        <v>157</v>
      </c>
      <c r="BO78" s="162" t="str">
        <f t="shared" si="48"/>
        <v/>
      </c>
      <c r="BP78" s="162" t="s">
        <v>1403</v>
      </c>
      <c r="BQ78" s="162" t="s">
        <v>1403</v>
      </c>
    </row>
    <row r="79" spans="1:70">
      <c r="A79" s="159">
        <f t="shared" si="61"/>
        <v>21</v>
      </c>
      <c r="B79" s="159">
        <f t="shared" si="62"/>
        <v>5</v>
      </c>
      <c r="C79" s="160" t="str">
        <f t="shared" si="49"/>
        <v>2105</v>
      </c>
      <c r="D79" s="159" t="s">
        <v>363</v>
      </c>
      <c r="E79" s="161">
        <v>2011</v>
      </c>
      <c r="F79" s="162" t="s">
        <v>364</v>
      </c>
      <c r="G79" s="162" t="s">
        <v>365</v>
      </c>
      <c r="H79" s="163" t="str">
        <f t="shared" si="63"/>
        <v>UM</v>
      </c>
      <c r="I79" s="163" t="s">
        <v>157</v>
      </c>
      <c r="J79" s="180" t="s">
        <v>371</v>
      </c>
      <c r="K79" s="163" t="s">
        <v>186</v>
      </c>
      <c r="L79" s="163" t="s">
        <v>183</v>
      </c>
      <c r="M79" s="163" t="str">
        <f t="shared" si="64"/>
        <v>PCV13 vs PCV10</v>
      </c>
      <c r="N79" s="159" t="s">
        <v>198</v>
      </c>
      <c r="O79" s="159">
        <v>4</v>
      </c>
      <c r="P79" s="162" t="s">
        <v>148</v>
      </c>
      <c r="Q79" s="162" t="s">
        <v>167</v>
      </c>
      <c r="R79" s="162" t="s">
        <v>154</v>
      </c>
      <c r="S79" s="162" t="s">
        <v>155</v>
      </c>
      <c r="T79" s="159">
        <v>2009</v>
      </c>
      <c r="U79" s="165">
        <v>20.75</v>
      </c>
      <c r="V79" s="165">
        <f>IF(ISNUMBER(U79),U79/VLOOKUP($S79,xRates!$A$1:$AA$267,data!$T79-xRates!$B$1+2,FALSE),U79)</f>
        <v>20.75</v>
      </c>
      <c r="W79" s="162" t="s">
        <v>366</v>
      </c>
      <c r="X79" s="159">
        <v>20.75</v>
      </c>
      <c r="Y79" s="165">
        <v>20.75</v>
      </c>
      <c r="Z79" s="162" t="s">
        <v>372</v>
      </c>
      <c r="AA79" s="163" t="s">
        <v>157</v>
      </c>
      <c r="AB79" s="162"/>
      <c r="AD79" s="163" t="s">
        <v>157</v>
      </c>
      <c r="AE79" s="162" t="str">
        <f t="shared" si="78"/>
        <v/>
      </c>
      <c r="AF79" s="163" t="s">
        <v>148</v>
      </c>
      <c r="AG79" s="163" t="s">
        <v>148</v>
      </c>
      <c r="AH79" s="163" t="s">
        <v>148</v>
      </c>
      <c r="AJ79" s="162"/>
      <c r="AK79" s="162" t="s">
        <v>373</v>
      </c>
      <c r="AL79" s="163" t="s">
        <v>247</v>
      </c>
      <c r="AM79" s="179">
        <v>28147</v>
      </c>
      <c r="AN79" s="179">
        <f t="shared" si="76"/>
        <v>28147</v>
      </c>
      <c r="AO79" s="179">
        <f t="shared" si="65"/>
        <v>8225.1375829999997</v>
      </c>
      <c r="AP79" s="163" t="str">
        <f t="shared" si="77"/>
        <v>Not Cost-Effective</v>
      </c>
      <c r="AQ79" s="163" t="str">
        <f t="shared" si="66"/>
        <v>Not Cost-Effective</v>
      </c>
      <c r="AR79" s="167">
        <f t="shared" si="50"/>
        <v>3.4220704171776042</v>
      </c>
      <c r="AS79" s="167">
        <f t="shared" si="51"/>
        <v>0.56000000000000005</v>
      </c>
      <c r="AT79" s="159" t="str">
        <f t="shared" si="67"/>
        <v>Not Cost-Effective</v>
      </c>
      <c r="AU79" s="167">
        <f t="shared" si="52"/>
        <v>0.37</v>
      </c>
      <c r="AV79" s="162" t="str">
        <f t="shared" si="68"/>
        <v>Not Cost-Effective</v>
      </c>
      <c r="AW79" s="167" t="str">
        <f t="shared" si="53"/>
        <v>.</v>
      </c>
      <c r="AX79" s="159" t="str">
        <f t="shared" si="69"/>
        <v>.</v>
      </c>
      <c r="AY79" s="167" t="str">
        <f t="shared" si="54"/>
        <v>.</v>
      </c>
      <c r="AZ79" s="159" t="str">
        <f t="shared" si="70"/>
        <v>.</v>
      </c>
      <c r="BA79" s="167">
        <f t="shared" si="55"/>
        <v>1.6326529897923321</v>
      </c>
      <c r="BB79" s="159" t="str">
        <f t="shared" si="71"/>
        <v>Not Cost-Effective</v>
      </c>
      <c r="BC79" s="167">
        <f t="shared" si="56"/>
        <v>0.67666749470350318</v>
      </c>
      <c r="BD79" s="159" t="str">
        <f t="shared" si="72"/>
        <v>Not Cost-Effective</v>
      </c>
      <c r="BE79" s="162" t="s">
        <v>173</v>
      </c>
      <c r="BF79" s="162" t="s">
        <v>174</v>
      </c>
      <c r="BG79" s="168">
        <f t="shared" si="57"/>
        <v>1</v>
      </c>
      <c r="BH79" s="168">
        <f t="shared" si="58"/>
        <v>1</v>
      </c>
      <c r="BI79" s="163">
        <f t="shared" si="59"/>
        <v>0</v>
      </c>
      <c r="BJ79" s="163">
        <f t="shared" si="60"/>
        <v>0</v>
      </c>
      <c r="BK79" s="163">
        <f t="shared" si="73"/>
        <v>1</v>
      </c>
      <c r="BL79" s="163">
        <f t="shared" si="74"/>
        <v>1</v>
      </c>
      <c r="BM79" s="163">
        <f t="shared" si="75"/>
        <v>4</v>
      </c>
      <c r="BN79" s="163" t="s">
        <v>157</v>
      </c>
      <c r="BO79" s="162" t="str">
        <f t="shared" si="48"/>
        <v/>
      </c>
      <c r="BP79" s="162" t="s">
        <v>1403</v>
      </c>
      <c r="BQ79" s="162" t="s">
        <v>1403</v>
      </c>
    </row>
    <row r="80" spans="1:70">
      <c r="A80" s="159">
        <f t="shared" si="61"/>
        <v>21</v>
      </c>
      <c r="B80" s="159">
        <f t="shared" si="62"/>
        <v>6</v>
      </c>
      <c r="C80" s="160" t="str">
        <f t="shared" si="49"/>
        <v>2106</v>
      </c>
      <c r="D80" s="159" t="s">
        <v>363</v>
      </c>
      <c r="E80" s="161">
        <v>2011</v>
      </c>
      <c r="F80" s="162" t="s">
        <v>364</v>
      </c>
      <c r="G80" s="162" t="s">
        <v>365</v>
      </c>
      <c r="H80" s="163" t="str">
        <f t="shared" si="63"/>
        <v>UM</v>
      </c>
      <c r="I80" s="163" t="s">
        <v>157</v>
      </c>
      <c r="J80" s="180" t="s">
        <v>371</v>
      </c>
      <c r="K80" s="163" t="s">
        <v>186</v>
      </c>
      <c r="L80" s="163" t="s">
        <v>183</v>
      </c>
      <c r="M80" s="163" t="str">
        <f t="shared" si="64"/>
        <v>PCV13 vs PCV10</v>
      </c>
      <c r="N80" s="159" t="s">
        <v>198</v>
      </c>
      <c r="O80" s="159">
        <v>4</v>
      </c>
      <c r="P80" s="162" t="s">
        <v>157</v>
      </c>
      <c r="Q80" s="162" t="s">
        <v>153</v>
      </c>
      <c r="R80" s="162" t="s">
        <v>154</v>
      </c>
      <c r="S80" s="162" t="s">
        <v>155</v>
      </c>
      <c r="T80" s="159">
        <v>2009</v>
      </c>
      <c r="U80" s="165">
        <v>20.75</v>
      </c>
      <c r="V80" s="165">
        <f>IF(ISNUMBER(U80),U80/VLOOKUP($S80,xRates!$A$1:$AA$267,data!$T80-xRates!$B$1+2,FALSE),U80)</f>
        <v>20.75</v>
      </c>
      <c r="W80" s="162" t="s">
        <v>366</v>
      </c>
      <c r="X80" s="159">
        <v>20.75</v>
      </c>
      <c r="Y80" s="165">
        <v>20.75</v>
      </c>
      <c r="Z80" s="162" t="s">
        <v>372</v>
      </c>
      <c r="AA80" s="163" t="s">
        <v>157</v>
      </c>
      <c r="AB80" s="162"/>
      <c r="AD80" s="163" t="s">
        <v>157</v>
      </c>
      <c r="AE80" s="162" t="str">
        <f t="shared" si="78"/>
        <v/>
      </c>
      <c r="AF80" s="163" t="s">
        <v>148</v>
      </c>
      <c r="AG80" s="163" t="s">
        <v>148</v>
      </c>
      <c r="AH80" s="163" t="s">
        <v>148</v>
      </c>
      <c r="AJ80" s="162"/>
      <c r="AK80" s="162" t="s">
        <v>374</v>
      </c>
      <c r="AL80" s="163" t="s">
        <v>247</v>
      </c>
      <c r="AM80" s="179">
        <v>27614</v>
      </c>
      <c r="AN80" s="179">
        <f t="shared" si="76"/>
        <v>27614</v>
      </c>
      <c r="AO80" s="179">
        <f t="shared" si="65"/>
        <v>8225.1375829999997</v>
      </c>
      <c r="AP80" s="163" t="str">
        <f t="shared" si="77"/>
        <v>Not Cost-Effective</v>
      </c>
      <c r="AQ80" s="163" t="str">
        <f t="shared" si="66"/>
        <v>Not Cost-Effective</v>
      </c>
      <c r="AR80" s="167">
        <f t="shared" si="50"/>
        <v>3.3572690695257883</v>
      </c>
      <c r="AS80" s="167">
        <f t="shared" si="51"/>
        <v>0.56000000000000005</v>
      </c>
      <c r="AT80" s="159" t="str">
        <f t="shared" si="67"/>
        <v>Not Cost-Effective</v>
      </c>
      <c r="AU80" s="167">
        <f t="shared" si="52"/>
        <v>0.37</v>
      </c>
      <c r="AV80" s="162" t="str">
        <f t="shared" si="68"/>
        <v>Not Cost-Effective</v>
      </c>
      <c r="AW80" s="167" t="str">
        <f t="shared" si="53"/>
        <v>.</v>
      </c>
      <c r="AX80" s="159" t="str">
        <f t="shared" si="69"/>
        <v>.</v>
      </c>
      <c r="AY80" s="167" t="str">
        <f t="shared" si="54"/>
        <v>.</v>
      </c>
      <c r="AZ80" s="159" t="str">
        <f t="shared" si="70"/>
        <v>.</v>
      </c>
      <c r="BA80" s="167">
        <f t="shared" si="55"/>
        <v>1.6326529897923321</v>
      </c>
      <c r="BB80" s="159" t="str">
        <f t="shared" si="71"/>
        <v>Not Cost-Effective</v>
      </c>
      <c r="BC80" s="167">
        <f t="shared" si="56"/>
        <v>0.67666749470350318</v>
      </c>
      <c r="BD80" s="159" t="str">
        <f t="shared" si="72"/>
        <v>Not Cost-Effective</v>
      </c>
      <c r="BE80" s="162" t="s">
        <v>173</v>
      </c>
      <c r="BF80" s="162" t="s">
        <v>174</v>
      </c>
      <c r="BG80" s="168">
        <f t="shared" si="57"/>
        <v>1</v>
      </c>
      <c r="BH80" s="168">
        <f t="shared" si="58"/>
        <v>1</v>
      </c>
      <c r="BI80" s="163">
        <f t="shared" si="59"/>
        <v>0</v>
      </c>
      <c r="BJ80" s="163">
        <f t="shared" si="60"/>
        <v>0</v>
      </c>
      <c r="BK80" s="163">
        <f t="shared" si="73"/>
        <v>1</v>
      </c>
      <c r="BL80" s="163">
        <f t="shared" si="74"/>
        <v>1</v>
      </c>
      <c r="BM80" s="163">
        <f t="shared" si="75"/>
        <v>4</v>
      </c>
      <c r="BN80" s="163" t="s">
        <v>157</v>
      </c>
      <c r="BO80" s="162" t="str">
        <f t="shared" si="48"/>
        <v/>
      </c>
      <c r="BP80" s="162" t="s">
        <v>1403</v>
      </c>
      <c r="BQ80" s="162" t="s">
        <v>1403</v>
      </c>
    </row>
    <row r="81" spans="1:69">
      <c r="A81" s="159">
        <f t="shared" si="61"/>
        <v>22</v>
      </c>
      <c r="B81" s="159">
        <f t="shared" si="62"/>
        <v>1</v>
      </c>
      <c r="C81" s="160" t="str">
        <f t="shared" si="49"/>
        <v>2201</v>
      </c>
      <c r="D81" s="159" t="s">
        <v>375</v>
      </c>
      <c r="E81" s="161">
        <v>2011</v>
      </c>
      <c r="F81" s="162" t="s">
        <v>376</v>
      </c>
      <c r="G81" s="162" t="s">
        <v>346</v>
      </c>
      <c r="H81" s="163" t="str">
        <f t="shared" si="63"/>
        <v>L</v>
      </c>
      <c r="I81" s="163" t="s">
        <v>157</v>
      </c>
      <c r="J81" s="180" t="s">
        <v>347</v>
      </c>
      <c r="K81" s="163" t="s">
        <v>348</v>
      </c>
      <c r="L81" s="163" t="s">
        <v>151</v>
      </c>
      <c r="M81" s="163" t="str">
        <f t="shared" si="64"/>
        <v>PCV9 vs NoVax</v>
      </c>
      <c r="N81" s="159" t="s">
        <v>331</v>
      </c>
      <c r="O81" s="159">
        <v>3</v>
      </c>
      <c r="P81" s="162" t="s">
        <v>148</v>
      </c>
      <c r="Q81" s="162" t="s">
        <v>153</v>
      </c>
      <c r="R81" s="162" t="s">
        <v>154</v>
      </c>
      <c r="S81" s="162" t="s">
        <v>155</v>
      </c>
      <c r="T81" s="159">
        <v>2005</v>
      </c>
      <c r="U81" s="165">
        <v>5</v>
      </c>
      <c r="V81" s="165">
        <f>IF(ISNUMBER(U81),U81/VLOOKUP($S81,xRates!$A$1:$AA$267,data!$T81-xRates!$B$1+2,FALSE),U81)</f>
        <v>5</v>
      </c>
      <c r="W81" s="162" t="s">
        <v>377</v>
      </c>
      <c r="Y81" s="165"/>
      <c r="AA81" s="163" t="s">
        <v>157</v>
      </c>
      <c r="AB81" s="162"/>
      <c r="AD81" s="163" t="s">
        <v>157</v>
      </c>
      <c r="AE81" s="162" t="str">
        <f t="shared" si="78"/>
        <v/>
      </c>
      <c r="AF81" s="163" t="s">
        <v>148</v>
      </c>
      <c r="AG81" s="163" t="s">
        <v>148</v>
      </c>
      <c r="AH81" s="163" t="s">
        <v>157</v>
      </c>
      <c r="AJ81" s="162"/>
      <c r="AK81" s="162" t="s">
        <v>378</v>
      </c>
      <c r="AL81" s="163" t="s">
        <v>247</v>
      </c>
      <c r="AM81" s="179">
        <v>26</v>
      </c>
      <c r="AN81" s="179">
        <f t="shared" si="76"/>
        <v>26</v>
      </c>
      <c r="AO81" s="179">
        <f t="shared" si="65"/>
        <v>665.72021570000004</v>
      </c>
      <c r="AP81" s="163" t="str">
        <f t="shared" si="77"/>
        <v>Cost-Effective</v>
      </c>
      <c r="AQ81" s="163" t="str">
        <f t="shared" si="66"/>
        <v>Cost-Effective</v>
      </c>
      <c r="AR81" s="167">
        <f t="shared" si="50"/>
        <v>3.905544609706825E-2</v>
      </c>
      <c r="AS81" s="167">
        <f t="shared" si="51"/>
        <v>0.69</v>
      </c>
      <c r="AT81" s="159" t="str">
        <f t="shared" si="67"/>
        <v>Cost-Effective</v>
      </c>
      <c r="AU81" s="167">
        <f t="shared" si="52"/>
        <v>0.52</v>
      </c>
      <c r="AV81" s="162" t="str">
        <f t="shared" si="68"/>
        <v>Cost-Effective</v>
      </c>
      <c r="AW81" s="167">
        <f t="shared" si="53"/>
        <v>0.35973480239731703</v>
      </c>
      <c r="AX81" s="159" t="str">
        <f t="shared" si="69"/>
        <v>Cost-Effective</v>
      </c>
      <c r="AY81" s="167">
        <f t="shared" si="54"/>
        <v>1.7130228685586526E-2</v>
      </c>
      <c r="AZ81" s="159" t="str">
        <f t="shared" si="70"/>
        <v>Not Cost-Effective</v>
      </c>
      <c r="BA81" s="167">
        <f t="shared" si="55"/>
        <v>0.25516617130748365</v>
      </c>
      <c r="BB81" s="159" t="str">
        <f t="shared" si="71"/>
        <v>Cost-Effective</v>
      </c>
      <c r="BC81" s="167">
        <f t="shared" si="56"/>
        <v>5.0515130360364778E-2</v>
      </c>
      <c r="BD81" s="159" t="str">
        <f t="shared" si="72"/>
        <v>Cost-Effective</v>
      </c>
      <c r="BE81" s="162" t="s">
        <v>210</v>
      </c>
      <c r="BF81" s="162" t="s">
        <v>174</v>
      </c>
      <c r="BG81" s="168">
        <f t="shared" si="57"/>
        <v>0</v>
      </c>
      <c r="BH81" s="168">
        <f t="shared" si="58"/>
        <v>0</v>
      </c>
      <c r="BI81" s="163">
        <f t="shared" si="59"/>
        <v>1</v>
      </c>
      <c r="BJ81" s="163">
        <f t="shared" si="60"/>
        <v>0</v>
      </c>
      <c r="BK81" s="163">
        <f t="shared" si="73"/>
        <v>0</v>
      </c>
      <c r="BL81" s="163">
        <f t="shared" si="74"/>
        <v>0</v>
      </c>
      <c r="BM81" s="163">
        <f t="shared" si="75"/>
        <v>1</v>
      </c>
      <c r="BN81" s="163" t="s">
        <v>148</v>
      </c>
      <c r="BO81" s="162" t="s">
        <v>379</v>
      </c>
      <c r="BP81" s="162" t="s">
        <v>1403</v>
      </c>
      <c r="BQ81" s="162" t="s">
        <v>1403</v>
      </c>
    </row>
    <row r="82" spans="1:69">
      <c r="A82" s="159">
        <f t="shared" si="61"/>
        <v>23</v>
      </c>
      <c r="B82" s="159">
        <f t="shared" si="62"/>
        <v>1</v>
      </c>
      <c r="C82" s="160" t="str">
        <f t="shared" si="49"/>
        <v>2301</v>
      </c>
      <c r="D82" s="159" t="s">
        <v>380</v>
      </c>
      <c r="E82" s="161">
        <v>2013</v>
      </c>
      <c r="F82" s="162" t="s">
        <v>381</v>
      </c>
      <c r="G82" s="162" t="s">
        <v>382</v>
      </c>
      <c r="H82" s="163" t="str">
        <f t="shared" si="63"/>
        <v>L</v>
      </c>
      <c r="I82" s="163" t="s">
        <v>157</v>
      </c>
      <c r="J82" s="180" t="s">
        <v>352</v>
      </c>
      <c r="K82" s="163" t="s">
        <v>183</v>
      </c>
      <c r="L82" s="163" t="s">
        <v>151</v>
      </c>
      <c r="M82" s="163" t="str">
        <f t="shared" si="64"/>
        <v>PCV10 vs NoVax</v>
      </c>
      <c r="N82" s="159" t="s">
        <v>383</v>
      </c>
      <c r="O82" s="159">
        <v>2</v>
      </c>
      <c r="P82" s="162" t="s">
        <v>148</v>
      </c>
      <c r="Q82" s="162" t="s">
        <v>153</v>
      </c>
      <c r="R82" s="162" t="s">
        <v>154</v>
      </c>
      <c r="S82" s="162" t="s">
        <v>155</v>
      </c>
      <c r="T82" s="159">
        <v>2010</v>
      </c>
      <c r="U82" s="165">
        <v>3.5</v>
      </c>
      <c r="V82" s="165">
        <f>IF(ISNUMBER(U82),U82/VLOOKUP($S82,xRates!$A$1:$AA$267,data!$T82-xRates!$B$1+2,FALSE),U82)</f>
        <v>3.5</v>
      </c>
      <c r="W82" s="162" t="s">
        <v>349</v>
      </c>
      <c r="Y82" s="165"/>
      <c r="AA82" s="163" t="s">
        <v>157</v>
      </c>
      <c r="AB82" s="162"/>
      <c r="AD82" s="163" t="s">
        <v>157</v>
      </c>
      <c r="AE82" s="162" t="str">
        <f t="shared" si="78"/>
        <v/>
      </c>
      <c r="AF82" s="163" t="s">
        <v>148</v>
      </c>
      <c r="AG82" s="163" t="s">
        <v>148</v>
      </c>
      <c r="AH82" s="163" t="s">
        <v>157</v>
      </c>
      <c r="AJ82" s="162"/>
      <c r="AK82" s="162" t="s">
        <v>384</v>
      </c>
      <c r="AL82" s="163" t="s">
        <v>247</v>
      </c>
      <c r="AM82" s="179">
        <v>59</v>
      </c>
      <c r="AN82" s="179">
        <f t="shared" si="76"/>
        <v>59</v>
      </c>
      <c r="AO82" s="179">
        <f t="shared" si="65"/>
        <v>1080.296184</v>
      </c>
      <c r="AP82" s="163" t="str">
        <f t="shared" si="77"/>
        <v>Cost-Effective</v>
      </c>
      <c r="AQ82" s="163" t="str">
        <f t="shared" si="66"/>
        <v>Cost-Effective</v>
      </c>
      <c r="AR82" s="167">
        <f t="shared" si="50"/>
        <v>5.461465186477045E-2</v>
      </c>
      <c r="AS82" s="167">
        <f t="shared" si="51"/>
        <v>0.47</v>
      </c>
      <c r="AT82" s="159" t="str">
        <f t="shared" si="67"/>
        <v>Cost-Effective</v>
      </c>
      <c r="AU82" s="167">
        <f t="shared" si="52"/>
        <v>0.36</v>
      </c>
      <c r="AV82" s="162" t="str">
        <f t="shared" si="68"/>
        <v>Cost-Effective</v>
      </c>
      <c r="AW82" s="167">
        <f t="shared" si="53"/>
        <v>0.38307648302682684</v>
      </c>
      <c r="AX82" s="159" t="str">
        <f t="shared" si="69"/>
        <v>Cost-Effective</v>
      </c>
      <c r="AY82" s="167">
        <f t="shared" si="54"/>
        <v>2.3619359261769671E-2</v>
      </c>
      <c r="AZ82" s="159" t="str">
        <f t="shared" si="70"/>
        <v>Not Cost-Effective</v>
      </c>
      <c r="BA82" s="167">
        <f t="shared" si="55"/>
        <v>0.405720265287076</v>
      </c>
      <c r="BB82" s="159" t="str">
        <f t="shared" si="71"/>
        <v>Cost-Effective</v>
      </c>
      <c r="BC82" s="167">
        <f t="shared" si="56"/>
        <v>0.16312464274428828</v>
      </c>
      <c r="BD82" s="159" t="str">
        <f t="shared" si="72"/>
        <v>Cost-Effective</v>
      </c>
      <c r="BE82" s="162" t="s">
        <v>210</v>
      </c>
      <c r="BF82" s="162" t="s">
        <v>174</v>
      </c>
      <c r="BG82" s="168">
        <f t="shared" si="57"/>
        <v>0</v>
      </c>
      <c r="BH82" s="168">
        <f t="shared" si="58"/>
        <v>0</v>
      </c>
      <c r="BI82" s="163">
        <f t="shared" si="59"/>
        <v>1</v>
      </c>
      <c r="BJ82" s="163">
        <f t="shared" si="60"/>
        <v>0</v>
      </c>
      <c r="BK82" s="163">
        <f t="shared" si="73"/>
        <v>0</v>
      </c>
      <c r="BL82" s="163">
        <f t="shared" si="74"/>
        <v>0</v>
      </c>
      <c r="BM82" s="163">
        <f t="shared" si="75"/>
        <v>1</v>
      </c>
      <c r="BN82" s="163" t="s">
        <v>157</v>
      </c>
      <c r="BO82" s="162" t="str">
        <f t="shared" ref="BO82:BO88" si="79">IF(BN82="No", "", "")</f>
        <v/>
      </c>
      <c r="BP82" s="162" t="s">
        <v>1410</v>
      </c>
      <c r="BQ82" s="162" t="s">
        <v>1426</v>
      </c>
    </row>
    <row r="83" spans="1:69">
      <c r="A83" s="159">
        <f t="shared" si="61"/>
        <v>23</v>
      </c>
      <c r="B83" s="159">
        <f t="shared" si="62"/>
        <v>2</v>
      </c>
      <c r="C83" s="160" t="str">
        <f t="shared" si="49"/>
        <v>2302</v>
      </c>
      <c r="D83" s="159" t="s">
        <v>380</v>
      </c>
      <c r="E83" s="161">
        <v>2013</v>
      </c>
      <c r="F83" s="162" t="s">
        <v>381</v>
      </c>
      <c r="G83" s="162" t="s">
        <v>382</v>
      </c>
      <c r="H83" s="163" t="str">
        <f t="shared" si="63"/>
        <v>L</v>
      </c>
      <c r="I83" s="163" t="s">
        <v>157</v>
      </c>
      <c r="J83" s="180" t="s">
        <v>353</v>
      </c>
      <c r="K83" s="163" t="s">
        <v>186</v>
      </c>
      <c r="L83" s="163" t="s">
        <v>151</v>
      </c>
      <c r="M83" s="163" t="str">
        <f t="shared" si="64"/>
        <v>PCV13 vs NoVax</v>
      </c>
      <c r="N83" s="159" t="s">
        <v>383</v>
      </c>
      <c r="O83" s="159">
        <v>2</v>
      </c>
      <c r="P83" s="162" t="s">
        <v>148</v>
      </c>
      <c r="Q83" s="162" t="s">
        <v>153</v>
      </c>
      <c r="R83" s="162" t="s">
        <v>154</v>
      </c>
      <c r="S83" s="162" t="s">
        <v>155</v>
      </c>
      <c r="T83" s="159">
        <v>2010</v>
      </c>
      <c r="U83" s="165">
        <v>3.5</v>
      </c>
      <c r="V83" s="165">
        <f>IF(ISNUMBER(U83),U83/VLOOKUP($S83,xRates!$A$1:$AA$267,data!$T83-xRates!$B$1+2,FALSE),U83)</f>
        <v>3.5</v>
      </c>
      <c r="W83" s="162" t="s">
        <v>349</v>
      </c>
      <c r="Y83" s="165"/>
      <c r="AA83" s="163" t="s">
        <v>157</v>
      </c>
      <c r="AB83" s="162"/>
      <c r="AD83" s="163" t="s">
        <v>157</v>
      </c>
      <c r="AE83" s="162" t="str">
        <f t="shared" si="78"/>
        <v/>
      </c>
      <c r="AF83" s="163" t="s">
        <v>148</v>
      </c>
      <c r="AG83" s="163" t="s">
        <v>148</v>
      </c>
      <c r="AH83" s="163" t="s">
        <v>157</v>
      </c>
      <c r="AJ83" s="162"/>
      <c r="AK83" s="162" t="s">
        <v>385</v>
      </c>
      <c r="AL83" s="163" t="s">
        <v>247</v>
      </c>
      <c r="AM83" s="179">
        <v>47</v>
      </c>
      <c r="AN83" s="179">
        <f t="shared" si="76"/>
        <v>47</v>
      </c>
      <c r="AO83" s="179">
        <f t="shared" si="65"/>
        <v>1080.296184</v>
      </c>
      <c r="AP83" s="163" t="str">
        <f t="shared" si="77"/>
        <v>Cost-Effective</v>
      </c>
      <c r="AQ83" s="163" t="str">
        <f t="shared" si="66"/>
        <v>Cost-Effective</v>
      </c>
      <c r="AR83" s="167">
        <f t="shared" si="50"/>
        <v>4.3506587078715443E-2</v>
      </c>
      <c r="AS83" s="167">
        <f t="shared" si="51"/>
        <v>0.47</v>
      </c>
      <c r="AT83" s="159" t="str">
        <f t="shared" si="67"/>
        <v>Cost-Effective</v>
      </c>
      <c r="AU83" s="167">
        <f t="shared" si="52"/>
        <v>0.36</v>
      </c>
      <c r="AV83" s="162" t="str">
        <f t="shared" si="68"/>
        <v>Cost-Effective</v>
      </c>
      <c r="AW83" s="167">
        <f t="shared" si="53"/>
        <v>0.38307648302682684</v>
      </c>
      <c r="AX83" s="159" t="str">
        <f t="shared" si="69"/>
        <v>Cost-Effective</v>
      </c>
      <c r="AY83" s="167">
        <f t="shared" si="54"/>
        <v>2.3619359261769671E-2</v>
      </c>
      <c r="AZ83" s="159" t="str">
        <f t="shared" si="70"/>
        <v>Not Cost-Effective</v>
      </c>
      <c r="BA83" s="167">
        <f t="shared" si="55"/>
        <v>0.405720265287076</v>
      </c>
      <c r="BB83" s="159" t="str">
        <f t="shared" si="71"/>
        <v>Cost-Effective</v>
      </c>
      <c r="BC83" s="167">
        <f t="shared" si="56"/>
        <v>0.16312464274428828</v>
      </c>
      <c r="BD83" s="159" t="str">
        <f t="shared" si="72"/>
        <v>Cost-Effective</v>
      </c>
      <c r="BE83" s="162" t="s">
        <v>210</v>
      </c>
      <c r="BF83" s="162" t="s">
        <v>174</v>
      </c>
      <c r="BG83" s="168">
        <f t="shared" si="57"/>
        <v>0</v>
      </c>
      <c r="BH83" s="168">
        <f t="shared" si="58"/>
        <v>0</v>
      </c>
      <c r="BI83" s="163">
        <f t="shared" si="59"/>
        <v>1</v>
      </c>
      <c r="BJ83" s="163">
        <f t="shared" si="60"/>
        <v>0</v>
      </c>
      <c r="BK83" s="163">
        <f t="shared" si="73"/>
        <v>0</v>
      </c>
      <c r="BL83" s="163">
        <f t="shared" si="74"/>
        <v>0</v>
      </c>
      <c r="BM83" s="163">
        <f t="shared" si="75"/>
        <v>1</v>
      </c>
      <c r="BN83" s="163" t="s">
        <v>157</v>
      </c>
      <c r="BO83" s="162" t="str">
        <f t="shared" si="79"/>
        <v/>
      </c>
      <c r="BP83" s="162" t="s">
        <v>1410</v>
      </c>
      <c r="BQ83" s="162" t="s">
        <v>1426</v>
      </c>
    </row>
    <row r="84" spans="1:69">
      <c r="A84" s="159">
        <f t="shared" si="61"/>
        <v>23</v>
      </c>
      <c r="B84" s="159">
        <f t="shared" si="62"/>
        <v>3</v>
      </c>
      <c r="C84" s="160" t="str">
        <f t="shared" si="49"/>
        <v>2303</v>
      </c>
      <c r="D84" s="159" t="s">
        <v>380</v>
      </c>
      <c r="E84" s="161">
        <v>2013</v>
      </c>
      <c r="F84" s="162" t="s">
        <v>381</v>
      </c>
      <c r="G84" s="162" t="s">
        <v>382</v>
      </c>
      <c r="H84" s="163" t="str">
        <f t="shared" si="63"/>
        <v>L</v>
      </c>
      <c r="I84" s="163" t="s">
        <v>157</v>
      </c>
      <c r="J84" s="180" t="s">
        <v>352</v>
      </c>
      <c r="K84" s="163" t="s">
        <v>183</v>
      </c>
      <c r="L84" s="163" t="s">
        <v>151</v>
      </c>
      <c r="M84" s="163" t="str">
        <f t="shared" si="64"/>
        <v>PCV10 vs NoVax</v>
      </c>
      <c r="N84" s="159" t="s">
        <v>383</v>
      </c>
      <c r="O84" s="159">
        <v>2</v>
      </c>
      <c r="P84" s="162" t="s">
        <v>157</v>
      </c>
      <c r="Q84" s="162" t="s">
        <v>153</v>
      </c>
      <c r="R84" s="162" t="s">
        <v>154</v>
      </c>
      <c r="S84" s="162" t="s">
        <v>155</v>
      </c>
      <c r="T84" s="159">
        <v>2010</v>
      </c>
      <c r="U84" s="165">
        <v>3.5</v>
      </c>
      <c r="V84" s="165">
        <f>IF(ISNUMBER(U84),U84/VLOOKUP($S84,xRates!$A$1:$AA$267,data!$T84-xRates!$B$1+2,FALSE),U84)</f>
        <v>3.5</v>
      </c>
      <c r="W84" s="162" t="s">
        <v>349</v>
      </c>
      <c r="Y84" s="165"/>
      <c r="AA84" s="163" t="s">
        <v>148</v>
      </c>
      <c r="AB84" s="162" t="s">
        <v>217</v>
      </c>
      <c r="AC84" s="162" t="s">
        <v>148</v>
      </c>
      <c r="AD84" s="163" t="s">
        <v>148</v>
      </c>
      <c r="AE84" s="162" t="s">
        <v>386</v>
      </c>
      <c r="AF84" s="163" t="s">
        <v>148</v>
      </c>
      <c r="AG84" s="163" t="s">
        <v>148</v>
      </c>
      <c r="AH84" s="163" t="s">
        <v>157</v>
      </c>
      <c r="AJ84" s="162"/>
      <c r="AK84" s="162" t="s">
        <v>387</v>
      </c>
      <c r="AL84" s="163" t="s">
        <v>247</v>
      </c>
      <c r="AM84" s="179">
        <v>32</v>
      </c>
      <c r="AN84" s="179">
        <f t="shared" si="76"/>
        <v>32</v>
      </c>
      <c r="AO84" s="179">
        <f t="shared" si="65"/>
        <v>1080.296184</v>
      </c>
      <c r="AP84" s="163" t="str">
        <f t="shared" si="77"/>
        <v>Cost-Effective</v>
      </c>
      <c r="AQ84" s="163" t="str">
        <f t="shared" si="66"/>
        <v>Cost-Effective</v>
      </c>
      <c r="AR84" s="167">
        <f t="shared" si="50"/>
        <v>2.9621506096146683E-2</v>
      </c>
      <c r="AS84" s="167">
        <f t="shared" si="51"/>
        <v>0.47</v>
      </c>
      <c r="AT84" s="159" t="str">
        <f t="shared" si="67"/>
        <v>Cost-Effective</v>
      </c>
      <c r="AU84" s="167">
        <f t="shared" si="52"/>
        <v>0.36</v>
      </c>
      <c r="AV84" s="162" t="str">
        <f t="shared" si="68"/>
        <v>Cost-Effective</v>
      </c>
      <c r="AW84" s="167">
        <f t="shared" si="53"/>
        <v>0.38307648302682684</v>
      </c>
      <c r="AX84" s="159" t="str">
        <f t="shared" si="69"/>
        <v>Cost-Effective</v>
      </c>
      <c r="AY84" s="167">
        <f t="shared" si="54"/>
        <v>2.3619359261769671E-2</v>
      </c>
      <c r="AZ84" s="159" t="str">
        <f t="shared" si="70"/>
        <v>Not Cost-Effective</v>
      </c>
      <c r="BA84" s="167">
        <f t="shared" si="55"/>
        <v>0.405720265287076</v>
      </c>
      <c r="BB84" s="159" t="str">
        <f t="shared" si="71"/>
        <v>Cost-Effective</v>
      </c>
      <c r="BC84" s="167">
        <f t="shared" si="56"/>
        <v>0.16312464274428828</v>
      </c>
      <c r="BD84" s="159" t="str">
        <f t="shared" si="72"/>
        <v>Cost-Effective</v>
      </c>
      <c r="BE84" s="162" t="s">
        <v>210</v>
      </c>
      <c r="BF84" s="162" t="s">
        <v>174</v>
      </c>
      <c r="BG84" s="168">
        <f t="shared" si="57"/>
        <v>0</v>
      </c>
      <c r="BH84" s="168">
        <f t="shared" si="58"/>
        <v>0</v>
      </c>
      <c r="BI84" s="163">
        <f t="shared" si="59"/>
        <v>1</v>
      </c>
      <c r="BJ84" s="163">
        <f t="shared" si="60"/>
        <v>0</v>
      </c>
      <c r="BK84" s="163">
        <f t="shared" si="73"/>
        <v>0</v>
      </c>
      <c r="BL84" s="163">
        <f t="shared" si="74"/>
        <v>0</v>
      </c>
      <c r="BM84" s="163">
        <f t="shared" si="75"/>
        <v>1</v>
      </c>
      <c r="BN84" s="163" t="s">
        <v>157</v>
      </c>
      <c r="BO84" s="162" t="str">
        <f t="shared" si="79"/>
        <v/>
      </c>
      <c r="BP84" s="162" t="s">
        <v>1410</v>
      </c>
      <c r="BQ84" s="162" t="s">
        <v>1426</v>
      </c>
    </row>
    <row r="85" spans="1:69">
      <c r="A85" s="159">
        <f t="shared" si="61"/>
        <v>23</v>
      </c>
      <c r="B85" s="159">
        <f t="shared" si="62"/>
        <v>4</v>
      </c>
      <c r="C85" s="160" t="str">
        <f t="shared" si="49"/>
        <v>2304</v>
      </c>
      <c r="D85" s="159" t="s">
        <v>380</v>
      </c>
      <c r="E85" s="161">
        <v>2013</v>
      </c>
      <c r="F85" s="162" t="s">
        <v>381</v>
      </c>
      <c r="G85" s="162" t="s">
        <v>382</v>
      </c>
      <c r="H85" s="163" t="str">
        <f t="shared" si="63"/>
        <v>L</v>
      </c>
      <c r="I85" s="163" t="s">
        <v>157</v>
      </c>
      <c r="J85" s="180" t="s">
        <v>353</v>
      </c>
      <c r="K85" s="163" t="s">
        <v>186</v>
      </c>
      <c r="L85" s="163" t="s">
        <v>151</v>
      </c>
      <c r="M85" s="163" t="str">
        <f t="shared" si="64"/>
        <v>PCV13 vs NoVax</v>
      </c>
      <c r="N85" s="159" t="s">
        <v>383</v>
      </c>
      <c r="O85" s="159">
        <v>2</v>
      </c>
      <c r="P85" s="162" t="s">
        <v>157</v>
      </c>
      <c r="Q85" s="162" t="s">
        <v>153</v>
      </c>
      <c r="R85" s="162" t="s">
        <v>154</v>
      </c>
      <c r="S85" s="162" t="s">
        <v>155</v>
      </c>
      <c r="T85" s="159">
        <v>2010</v>
      </c>
      <c r="U85" s="165">
        <v>3.5</v>
      </c>
      <c r="V85" s="165">
        <f>IF(ISNUMBER(U85),U85/VLOOKUP($S85,xRates!$A$1:$AA$267,data!$T85-xRates!$B$1+2,FALSE),U85)</f>
        <v>3.5</v>
      </c>
      <c r="W85" s="162" t="s">
        <v>349</v>
      </c>
      <c r="Y85" s="165"/>
      <c r="AA85" s="163" t="s">
        <v>148</v>
      </c>
      <c r="AB85" s="162" t="s">
        <v>217</v>
      </c>
      <c r="AC85" s="162" t="s">
        <v>148</v>
      </c>
      <c r="AD85" s="163" t="s">
        <v>148</v>
      </c>
      <c r="AE85" s="162" t="s">
        <v>386</v>
      </c>
      <c r="AF85" s="163" t="s">
        <v>148</v>
      </c>
      <c r="AG85" s="163" t="s">
        <v>148</v>
      </c>
      <c r="AH85" s="163" t="s">
        <v>157</v>
      </c>
      <c r="AJ85" s="162"/>
      <c r="AK85" s="162" t="s">
        <v>388</v>
      </c>
      <c r="AL85" s="163" t="s">
        <v>247</v>
      </c>
      <c r="AM85" s="179">
        <v>25</v>
      </c>
      <c r="AN85" s="179">
        <f t="shared" si="76"/>
        <v>25</v>
      </c>
      <c r="AO85" s="179">
        <f t="shared" si="65"/>
        <v>1080.296184</v>
      </c>
      <c r="AP85" s="163" t="str">
        <f t="shared" si="77"/>
        <v>Cost-Effective</v>
      </c>
      <c r="AQ85" s="163" t="str">
        <f t="shared" si="66"/>
        <v>Cost-Effective</v>
      </c>
      <c r="AR85" s="167">
        <f t="shared" si="50"/>
        <v>2.3141801637614597E-2</v>
      </c>
      <c r="AS85" s="167">
        <f t="shared" si="51"/>
        <v>0.47</v>
      </c>
      <c r="AT85" s="159" t="str">
        <f t="shared" si="67"/>
        <v>Cost-Effective</v>
      </c>
      <c r="AU85" s="167">
        <f t="shared" si="52"/>
        <v>0.36</v>
      </c>
      <c r="AV85" s="162" t="str">
        <f t="shared" si="68"/>
        <v>Cost-Effective</v>
      </c>
      <c r="AW85" s="167">
        <f t="shared" si="53"/>
        <v>0.38307648302682684</v>
      </c>
      <c r="AX85" s="159" t="str">
        <f t="shared" si="69"/>
        <v>Cost-Effective</v>
      </c>
      <c r="AY85" s="167">
        <f t="shared" si="54"/>
        <v>2.3619359261769671E-2</v>
      </c>
      <c r="AZ85" s="159" t="str">
        <f t="shared" si="70"/>
        <v>Cost-Effective</v>
      </c>
      <c r="BA85" s="167">
        <f t="shared" si="55"/>
        <v>0.405720265287076</v>
      </c>
      <c r="BB85" s="159" t="str">
        <f t="shared" si="71"/>
        <v>Cost-Effective</v>
      </c>
      <c r="BC85" s="167">
        <f t="shared" si="56"/>
        <v>0.16312464274428828</v>
      </c>
      <c r="BD85" s="159" t="str">
        <f t="shared" si="72"/>
        <v>Cost-Effective</v>
      </c>
      <c r="BE85" s="162" t="s">
        <v>210</v>
      </c>
      <c r="BF85" s="162" t="s">
        <v>174</v>
      </c>
      <c r="BG85" s="168">
        <f t="shared" si="57"/>
        <v>0</v>
      </c>
      <c r="BH85" s="168">
        <f t="shared" si="58"/>
        <v>0</v>
      </c>
      <c r="BI85" s="163">
        <f t="shared" si="59"/>
        <v>0</v>
      </c>
      <c r="BJ85" s="163">
        <f t="shared" si="60"/>
        <v>0</v>
      </c>
      <c r="BK85" s="163">
        <f t="shared" si="73"/>
        <v>0</v>
      </c>
      <c r="BL85" s="163">
        <f t="shared" si="74"/>
        <v>0</v>
      </c>
      <c r="BM85" s="163">
        <f t="shared" si="75"/>
        <v>0</v>
      </c>
      <c r="BN85" s="163" t="s">
        <v>157</v>
      </c>
      <c r="BO85" s="162" t="str">
        <f t="shared" si="79"/>
        <v/>
      </c>
      <c r="BP85" s="162" t="s">
        <v>1410</v>
      </c>
      <c r="BQ85" s="162" t="s">
        <v>1426</v>
      </c>
    </row>
    <row r="86" spans="1:69">
      <c r="A86" s="159">
        <f t="shared" si="61"/>
        <v>24</v>
      </c>
      <c r="B86" s="159">
        <f t="shared" si="62"/>
        <v>1</v>
      </c>
      <c r="C86" s="160" t="str">
        <f t="shared" si="49"/>
        <v>2401</v>
      </c>
      <c r="D86" s="159" t="s">
        <v>389</v>
      </c>
      <c r="E86" s="161">
        <v>2015</v>
      </c>
      <c r="F86" s="162" t="s">
        <v>390</v>
      </c>
      <c r="G86" s="162" t="s">
        <v>391</v>
      </c>
      <c r="H86" s="163" t="str">
        <f t="shared" si="63"/>
        <v>L</v>
      </c>
      <c r="I86" s="163" t="s">
        <v>157</v>
      </c>
      <c r="J86" s="180" t="s">
        <v>352</v>
      </c>
      <c r="K86" s="163" t="s">
        <v>183</v>
      </c>
      <c r="L86" s="163" t="s">
        <v>151</v>
      </c>
      <c r="M86" s="163" t="str">
        <f t="shared" si="64"/>
        <v>PCV10 vs NoVax</v>
      </c>
      <c r="N86" s="159" t="s">
        <v>392</v>
      </c>
      <c r="O86" s="159">
        <v>1</v>
      </c>
      <c r="P86" s="162" t="s">
        <v>148</v>
      </c>
      <c r="Q86" s="162" t="s">
        <v>167</v>
      </c>
      <c r="R86" s="162" t="s">
        <v>154</v>
      </c>
      <c r="S86" s="162" t="s">
        <v>155</v>
      </c>
      <c r="T86" s="159">
        <v>2011</v>
      </c>
      <c r="U86" s="165">
        <v>7</v>
      </c>
      <c r="V86" s="165">
        <f>IF(ISNUMBER(U86),U86/VLOOKUP($S86,xRates!$A$1:$AA$267,data!$T86-xRates!$B$1+2,FALSE),U86)</f>
        <v>7</v>
      </c>
      <c r="W86" s="162" t="s">
        <v>323</v>
      </c>
      <c r="Y86" s="165"/>
      <c r="AA86" s="163" t="s">
        <v>157</v>
      </c>
      <c r="AB86" s="162"/>
      <c r="AC86" s="162" t="str">
        <f>IF(AA86="No","","")</f>
        <v/>
      </c>
      <c r="AD86" s="163" t="s">
        <v>157</v>
      </c>
      <c r="AE86" s="162" t="str">
        <f>IF(AD86="No", "", "")</f>
        <v/>
      </c>
      <c r="AF86" s="163" t="s">
        <v>148</v>
      </c>
      <c r="AG86" s="163" t="s">
        <v>157</v>
      </c>
      <c r="AH86" s="163" t="s">
        <v>157</v>
      </c>
      <c r="AJ86" s="162" t="s">
        <v>393</v>
      </c>
      <c r="AK86" s="162" t="s">
        <v>394</v>
      </c>
      <c r="AL86" s="163" t="s">
        <v>247</v>
      </c>
      <c r="AM86" s="179">
        <v>114.84</v>
      </c>
      <c r="AN86" s="179">
        <f t="shared" si="76"/>
        <v>114.84</v>
      </c>
      <c r="AO86" s="179">
        <f t="shared" si="65"/>
        <v>297.95535776596103</v>
      </c>
      <c r="AP86" s="163" t="str">
        <f t="shared" si="77"/>
        <v>Cost-Effective</v>
      </c>
      <c r="AQ86" s="163" t="str">
        <f t="shared" si="66"/>
        <v>Cost-Effective</v>
      </c>
      <c r="AR86" s="167">
        <f t="shared" si="50"/>
        <v>0.38542686683353722</v>
      </c>
      <c r="AS86" s="167" t="str">
        <f t="shared" si="51"/>
        <v>.</v>
      </c>
      <c r="AT86" s="159" t="str">
        <f t="shared" si="67"/>
        <v>.</v>
      </c>
      <c r="AU86" s="167" t="str">
        <f t="shared" si="52"/>
        <v>.</v>
      </c>
      <c r="AV86" s="162" t="str">
        <f t="shared" si="68"/>
        <v>.</v>
      </c>
      <c r="AW86" s="167" t="str">
        <f t="shared" si="53"/>
        <v>.</v>
      </c>
      <c r="AX86" s="159" t="str">
        <f t="shared" si="69"/>
        <v>.</v>
      </c>
      <c r="AY86" s="167" t="str">
        <f t="shared" si="54"/>
        <v>.</v>
      </c>
      <c r="AZ86" s="159" t="str">
        <f t="shared" si="70"/>
        <v>.</v>
      </c>
      <c r="BA86" s="167" t="str">
        <f t="shared" si="55"/>
        <v>.</v>
      </c>
      <c r="BB86" s="159" t="str">
        <f t="shared" si="71"/>
        <v>.</v>
      </c>
      <c r="BC86" s="167" t="str">
        <f t="shared" si="56"/>
        <v>.</v>
      </c>
      <c r="BD86" s="159" t="str">
        <f t="shared" si="72"/>
        <v>.</v>
      </c>
      <c r="BE86" s="162" t="s">
        <v>173</v>
      </c>
      <c r="BF86" s="162" t="s">
        <v>174</v>
      </c>
      <c r="BG86" s="168">
        <f t="shared" si="57"/>
        <v>0</v>
      </c>
      <c r="BH86" s="168">
        <f t="shared" si="58"/>
        <v>0</v>
      </c>
      <c r="BI86" s="163">
        <f t="shared" si="59"/>
        <v>0</v>
      </c>
      <c r="BJ86" s="163">
        <f t="shared" si="60"/>
        <v>0</v>
      </c>
      <c r="BK86" s="163">
        <f t="shared" si="73"/>
        <v>0</v>
      </c>
      <c r="BL86" s="163">
        <f t="shared" si="74"/>
        <v>0</v>
      </c>
      <c r="BM86" s="163">
        <f t="shared" si="75"/>
        <v>0</v>
      </c>
      <c r="BN86" s="163" t="s">
        <v>157</v>
      </c>
      <c r="BO86" s="162" t="str">
        <f t="shared" si="79"/>
        <v/>
      </c>
      <c r="BP86" s="162" t="s">
        <v>1403</v>
      </c>
      <c r="BQ86" s="162" t="s">
        <v>1403</v>
      </c>
    </row>
    <row r="87" spans="1:69">
      <c r="A87" s="159">
        <f t="shared" si="61"/>
        <v>24</v>
      </c>
      <c r="B87" s="159">
        <f t="shared" si="62"/>
        <v>2</v>
      </c>
      <c r="C87" s="160" t="str">
        <f t="shared" si="49"/>
        <v>2402</v>
      </c>
      <c r="D87" s="159" t="s">
        <v>389</v>
      </c>
      <c r="E87" s="161">
        <v>2015</v>
      </c>
      <c r="F87" s="162" t="s">
        <v>390</v>
      </c>
      <c r="G87" s="162" t="s">
        <v>391</v>
      </c>
      <c r="H87" s="163" t="str">
        <f t="shared" si="63"/>
        <v>L</v>
      </c>
      <c r="I87" s="163" t="s">
        <v>157</v>
      </c>
      <c r="J87" s="180" t="s">
        <v>352</v>
      </c>
      <c r="K87" s="163" t="s">
        <v>183</v>
      </c>
      <c r="L87" s="163" t="s">
        <v>151</v>
      </c>
      <c r="M87" s="163" t="str">
        <f t="shared" si="64"/>
        <v>PCV10 vs NoVax</v>
      </c>
      <c r="N87" s="159" t="s">
        <v>383</v>
      </c>
      <c r="O87" s="159">
        <v>2</v>
      </c>
      <c r="P87" s="162" t="s">
        <v>148</v>
      </c>
      <c r="Q87" s="162" t="s">
        <v>167</v>
      </c>
      <c r="R87" s="162" t="s">
        <v>154</v>
      </c>
      <c r="S87" s="162" t="s">
        <v>155</v>
      </c>
      <c r="T87" s="159">
        <v>2011</v>
      </c>
      <c r="U87" s="165">
        <v>7</v>
      </c>
      <c r="V87" s="165">
        <f>IF(ISNUMBER(U87),U87/VLOOKUP($S87,xRates!$A$1:$AA$267,data!$T87-xRates!$B$1+2,FALSE),U87)</f>
        <v>7</v>
      </c>
      <c r="W87" s="162" t="s">
        <v>323</v>
      </c>
      <c r="Y87" s="165"/>
      <c r="AA87" s="163" t="s">
        <v>157</v>
      </c>
      <c r="AB87" s="162"/>
      <c r="AC87" s="162" t="str">
        <f>IF(AA87="No","","")</f>
        <v/>
      </c>
      <c r="AD87" s="163" t="s">
        <v>157</v>
      </c>
      <c r="AE87" s="162" t="str">
        <f>IF(AD87="No", "", "")</f>
        <v/>
      </c>
      <c r="AF87" s="163" t="s">
        <v>148</v>
      </c>
      <c r="AG87" s="163" t="s">
        <v>157</v>
      </c>
      <c r="AH87" s="163" t="s">
        <v>157</v>
      </c>
      <c r="AJ87" s="162" t="s">
        <v>393</v>
      </c>
      <c r="AK87" s="162" t="s">
        <v>395</v>
      </c>
      <c r="AL87" s="163" t="s">
        <v>247</v>
      </c>
      <c r="AM87" s="179">
        <v>161.51</v>
      </c>
      <c r="AN87" s="179">
        <f t="shared" si="76"/>
        <v>161.51</v>
      </c>
      <c r="AO87" s="179">
        <f t="shared" si="65"/>
        <v>297.95535776596103</v>
      </c>
      <c r="AP87" s="163" t="str">
        <f t="shared" si="77"/>
        <v>Cost-Effective</v>
      </c>
      <c r="AQ87" s="163" t="str">
        <f t="shared" si="66"/>
        <v>Cost-Effective</v>
      </c>
      <c r="AR87" s="167">
        <f t="shared" si="50"/>
        <v>0.54206106985618763</v>
      </c>
      <c r="AS87" s="167" t="str">
        <f t="shared" si="51"/>
        <v>.</v>
      </c>
      <c r="AT87" s="159" t="str">
        <f t="shared" si="67"/>
        <v>.</v>
      </c>
      <c r="AU87" s="167" t="str">
        <f t="shared" si="52"/>
        <v>.</v>
      </c>
      <c r="AV87" s="162" t="str">
        <f t="shared" si="68"/>
        <v>.</v>
      </c>
      <c r="AW87" s="167" t="str">
        <f t="shared" si="53"/>
        <v>.</v>
      </c>
      <c r="AX87" s="159" t="str">
        <f t="shared" si="69"/>
        <v>.</v>
      </c>
      <c r="AY87" s="167" t="str">
        <f t="shared" si="54"/>
        <v>.</v>
      </c>
      <c r="AZ87" s="159" t="str">
        <f t="shared" si="70"/>
        <v>.</v>
      </c>
      <c r="BA87" s="167" t="str">
        <f t="shared" si="55"/>
        <v>.</v>
      </c>
      <c r="BB87" s="159" t="str">
        <f t="shared" si="71"/>
        <v>.</v>
      </c>
      <c r="BC87" s="167" t="str">
        <f t="shared" si="56"/>
        <v>.</v>
      </c>
      <c r="BD87" s="159" t="str">
        <f t="shared" si="72"/>
        <v>.</v>
      </c>
      <c r="BE87" s="162" t="s">
        <v>173</v>
      </c>
      <c r="BF87" s="162" t="s">
        <v>174</v>
      </c>
      <c r="BG87" s="168">
        <f t="shared" si="57"/>
        <v>0</v>
      </c>
      <c r="BH87" s="168">
        <f t="shared" si="58"/>
        <v>0</v>
      </c>
      <c r="BI87" s="163">
        <f t="shared" si="59"/>
        <v>0</v>
      </c>
      <c r="BJ87" s="163">
        <f t="shared" si="60"/>
        <v>0</v>
      </c>
      <c r="BK87" s="163">
        <f t="shared" si="73"/>
        <v>0</v>
      </c>
      <c r="BL87" s="163">
        <f t="shared" si="74"/>
        <v>0</v>
      </c>
      <c r="BM87" s="163">
        <f t="shared" si="75"/>
        <v>0</v>
      </c>
      <c r="BN87" s="163" t="s">
        <v>157</v>
      </c>
      <c r="BO87" s="162" t="str">
        <f t="shared" si="79"/>
        <v/>
      </c>
      <c r="BP87" s="162" t="s">
        <v>1403</v>
      </c>
      <c r="BQ87" s="162" t="s">
        <v>1403</v>
      </c>
    </row>
    <row r="88" spans="1:69">
      <c r="A88" s="159">
        <f t="shared" si="61"/>
        <v>25</v>
      </c>
      <c r="B88" s="159">
        <f t="shared" si="62"/>
        <v>1</v>
      </c>
      <c r="C88" s="160" t="str">
        <f t="shared" si="49"/>
        <v>2501</v>
      </c>
      <c r="D88" s="159" t="s">
        <v>396</v>
      </c>
      <c r="E88" s="161">
        <v>2015</v>
      </c>
      <c r="F88" s="162" t="s">
        <v>397</v>
      </c>
      <c r="G88" s="162" t="s">
        <v>398</v>
      </c>
      <c r="H88" s="163" t="str">
        <f t="shared" si="63"/>
        <v>LM</v>
      </c>
      <c r="I88" s="163" t="s">
        <v>157</v>
      </c>
      <c r="J88" s="180" t="s">
        <v>353</v>
      </c>
      <c r="K88" s="163" t="s">
        <v>186</v>
      </c>
      <c r="L88" s="163" t="s">
        <v>151</v>
      </c>
      <c r="M88" s="163" t="str">
        <f t="shared" si="64"/>
        <v>PCV13 vs NoVax</v>
      </c>
      <c r="N88" s="159" t="s">
        <v>331</v>
      </c>
      <c r="O88" s="159">
        <v>3</v>
      </c>
      <c r="P88" s="162" t="s">
        <v>148</v>
      </c>
      <c r="Q88" s="162" t="s">
        <v>167</v>
      </c>
      <c r="R88" s="162" t="s">
        <v>154</v>
      </c>
      <c r="S88" s="162" t="s">
        <v>155</v>
      </c>
      <c r="T88" s="159">
        <v>2013</v>
      </c>
      <c r="U88" s="165">
        <v>14.24</v>
      </c>
      <c r="V88" s="165">
        <f>IF(ISNUMBER(U88),U88/VLOOKUP($S88,xRates!$A$1:$AA$267,data!$T88-xRates!$B$1+2,FALSE),U88)</f>
        <v>14.24</v>
      </c>
      <c r="W88" s="162" t="s">
        <v>399</v>
      </c>
      <c r="Y88" s="165"/>
      <c r="AA88" s="163" t="s">
        <v>148</v>
      </c>
      <c r="AB88" s="162"/>
      <c r="AC88" s="162" t="s">
        <v>157</v>
      </c>
      <c r="AD88" s="163" t="s">
        <v>148</v>
      </c>
      <c r="AE88" s="162" t="s">
        <v>400</v>
      </c>
      <c r="AF88" s="163" t="s">
        <v>148</v>
      </c>
      <c r="AG88" s="163" t="s">
        <v>148</v>
      </c>
      <c r="AH88" s="163" t="s">
        <v>148</v>
      </c>
      <c r="AJ88" s="162" t="s">
        <v>401</v>
      </c>
      <c r="AK88" s="162" t="s">
        <v>402</v>
      </c>
      <c r="AL88" s="163" t="s">
        <v>247</v>
      </c>
      <c r="AM88" s="179">
        <v>3916</v>
      </c>
      <c r="AN88" s="179">
        <f t="shared" si="76"/>
        <v>3916</v>
      </c>
      <c r="AO88" s="179">
        <f t="shared" si="65"/>
        <v>3262.6575864710398</v>
      </c>
      <c r="AP88" s="163" t="str">
        <f t="shared" si="77"/>
        <v>Not Cost-Effective</v>
      </c>
      <c r="AQ88" s="163" t="str">
        <f t="shared" si="66"/>
        <v>Cost-Effective</v>
      </c>
      <c r="AR88" s="167">
        <f t="shared" si="50"/>
        <v>1.2002485385650381</v>
      </c>
      <c r="AS88" s="167">
        <f t="shared" si="51"/>
        <v>0.41</v>
      </c>
      <c r="AT88" s="159" t="str">
        <f t="shared" si="67"/>
        <v>Not Cost-Effective</v>
      </c>
      <c r="AU88" s="167">
        <f t="shared" si="52"/>
        <v>0.27</v>
      </c>
      <c r="AV88" s="162" t="str">
        <f t="shared" si="68"/>
        <v>Not Cost-Effective</v>
      </c>
      <c r="AW88" s="167">
        <f t="shared" si="53"/>
        <v>0.61085172046989811</v>
      </c>
      <c r="AX88" s="159" t="str">
        <f t="shared" si="69"/>
        <v>Not Cost-Effective</v>
      </c>
      <c r="AY88" s="167">
        <f t="shared" si="54"/>
        <v>0.1599922719946246</v>
      </c>
      <c r="AZ88" s="159" t="str">
        <f t="shared" si="70"/>
        <v>Not Cost-Effective</v>
      </c>
      <c r="BA88" s="167">
        <f t="shared" si="55"/>
        <v>0.49220092024593476</v>
      </c>
      <c r="BB88" s="159" t="str">
        <f t="shared" si="71"/>
        <v>Not Cost-Effective</v>
      </c>
      <c r="BC88" s="167">
        <f t="shared" si="56"/>
        <v>0.19807277947985799</v>
      </c>
      <c r="BD88" s="159" t="str">
        <f t="shared" si="72"/>
        <v>Not Cost-Effective</v>
      </c>
      <c r="BE88" s="162" t="s">
        <v>160</v>
      </c>
      <c r="BF88" s="162" t="s">
        <v>174</v>
      </c>
      <c r="BG88" s="168">
        <f t="shared" si="57"/>
        <v>1</v>
      </c>
      <c r="BH88" s="168">
        <f t="shared" si="58"/>
        <v>1</v>
      </c>
      <c r="BI88" s="163">
        <f t="shared" si="59"/>
        <v>1</v>
      </c>
      <c r="BJ88" s="163">
        <f t="shared" si="60"/>
        <v>1</v>
      </c>
      <c r="BK88" s="163">
        <f t="shared" si="73"/>
        <v>1</v>
      </c>
      <c r="BL88" s="163">
        <f t="shared" si="74"/>
        <v>1</v>
      </c>
      <c r="BM88" s="163">
        <f t="shared" si="75"/>
        <v>6</v>
      </c>
      <c r="BN88" s="163" t="s">
        <v>157</v>
      </c>
      <c r="BO88" s="162" t="str">
        <f t="shared" si="79"/>
        <v/>
      </c>
      <c r="BP88" s="162" t="s">
        <v>1409</v>
      </c>
      <c r="BQ88" s="162" t="s">
        <v>1426</v>
      </c>
    </row>
    <row r="89" spans="1:69">
      <c r="A89" s="159">
        <f t="shared" si="61"/>
        <v>26</v>
      </c>
      <c r="B89" s="159">
        <f t="shared" si="62"/>
        <v>1</v>
      </c>
      <c r="C89" s="160" t="str">
        <f t="shared" si="49"/>
        <v>2601</v>
      </c>
      <c r="D89" s="159" t="s">
        <v>56</v>
      </c>
      <c r="E89" s="161">
        <v>2015</v>
      </c>
      <c r="F89" s="162" t="s">
        <v>403</v>
      </c>
      <c r="G89" s="162" t="s">
        <v>404</v>
      </c>
      <c r="H89" s="163" t="str">
        <f t="shared" si="63"/>
        <v>UM</v>
      </c>
      <c r="I89" s="163" t="s">
        <v>157</v>
      </c>
      <c r="J89" s="180" t="s">
        <v>352</v>
      </c>
      <c r="K89" s="163" t="s">
        <v>183</v>
      </c>
      <c r="L89" s="163" t="s">
        <v>151</v>
      </c>
      <c r="M89" s="163" t="str">
        <f t="shared" si="64"/>
        <v>PCV10 vs NoVax</v>
      </c>
      <c r="N89" s="159" t="s">
        <v>198</v>
      </c>
      <c r="O89" s="159">
        <v>4</v>
      </c>
      <c r="P89" s="162" t="s">
        <v>148</v>
      </c>
      <c r="Q89" s="162" t="s">
        <v>167</v>
      </c>
      <c r="R89" s="162" t="s">
        <v>154</v>
      </c>
      <c r="S89" s="162" t="s">
        <v>155</v>
      </c>
      <c r="T89" s="159">
        <v>2012</v>
      </c>
      <c r="U89" s="165">
        <v>14.24</v>
      </c>
      <c r="V89" s="165">
        <f>IF(ISNUMBER(U89),U89/VLOOKUP($S89,xRates!$A$1:$AA$267,data!$T89-xRates!$B$1+2,FALSE),U89)</f>
        <v>14.24</v>
      </c>
      <c r="W89" s="162" t="s">
        <v>332</v>
      </c>
      <c r="Y89" s="165"/>
      <c r="AA89" s="163" t="s">
        <v>157</v>
      </c>
      <c r="AB89" s="162"/>
      <c r="AC89" s="162" t="str">
        <f t="shared" ref="AC89:AC119" si="80">IF(AA89="No","","")</f>
        <v/>
      </c>
      <c r="AD89" s="163" t="s">
        <v>157</v>
      </c>
      <c r="AE89" s="162" t="str">
        <f t="shared" ref="AE89:AE119" si="81">IF(AD89="No", "", "")</f>
        <v/>
      </c>
      <c r="AF89" s="163" t="s">
        <v>148</v>
      </c>
      <c r="AG89" s="163" t="s">
        <v>148</v>
      </c>
      <c r="AH89" s="163" t="s">
        <v>148</v>
      </c>
      <c r="AJ89" s="162"/>
      <c r="AK89" s="162" t="s">
        <v>405</v>
      </c>
      <c r="AL89" s="163" t="s">
        <v>247</v>
      </c>
      <c r="AM89" s="179">
        <v>1605</v>
      </c>
      <c r="AN89" s="179">
        <v>1605</v>
      </c>
      <c r="AO89" s="179">
        <f t="shared" si="65"/>
        <v>6528.971775</v>
      </c>
      <c r="AP89" s="163" t="str">
        <f t="shared" si="77"/>
        <v>Cost-Effective</v>
      </c>
      <c r="AQ89" s="163" t="str">
        <f t="shared" si="66"/>
        <v>Cost-Effective</v>
      </c>
      <c r="AR89" s="167">
        <f t="shared" si="50"/>
        <v>0.24582737608786798</v>
      </c>
      <c r="AS89" s="167">
        <f t="shared" si="51"/>
        <v>1.08</v>
      </c>
      <c r="AT89" s="159" t="str">
        <f t="shared" si="67"/>
        <v>Cost-Effective</v>
      </c>
      <c r="AU89" s="167">
        <f t="shared" si="52"/>
        <v>0.64</v>
      </c>
      <c r="AV89" s="162" t="str">
        <f t="shared" si="68"/>
        <v>Cost-Effective</v>
      </c>
      <c r="AW89" s="167">
        <f t="shared" si="53"/>
        <v>0.64868436103329219</v>
      </c>
      <c r="AX89" s="159" t="str">
        <f t="shared" si="69"/>
        <v>Cost-Effective</v>
      </c>
      <c r="AY89" s="167">
        <f t="shared" si="54"/>
        <v>0.16487209176159878</v>
      </c>
      <c r="AZ89" s="159" t="str">
        <f t="shared" si="70"/>
        <v>Not Cost-Effective</v>
      </c>
      <c r="BA89" s="167">
        <f t="shared" si="55"/>
        <v>0.88451095719374262</v>
      </c>
      <c r="BB89" s="159" t="str">
        <f t="shared" si="71"/>
        <v>Cost-Effective</v>
      </c>
      <c r="BC89" s="167">
        <f t="shared" si="56"/>
        <v>0.366554090368578</v>
      </c>
      <c r="BD89" s="159" t="str">
        <f t="shared" si="72"/>
        <v>Cost-Effective</v>
      </c>
      <c r="BE89" s="162" t="s">
        <v>210</v>
      </c>
      <c r="BF89" s="162" t="s">
        <v>174</v>
      </c>
      <c r="BG89" s="168">
        <f t="shared" si="57"/>
        <v>0</v>
      </c>
      <c r="BH89" s="168">
        <f t="shared" si="58"/>
        <v>0</v>
      </c>
      <c r="BI89" s="163">
        <f t="shared" si="59"/>
        <v>1</v>
      </c>
      <c r="BJ89" s="163">
        <f t="shared" si="60"/>
        <v>0</v>
      </c>
      <c r="BK89" s="163">
        <f t="shared" si="73"/>
        <v>0</v>
      </c>
      <c r="BL89" s="163">
        <f t="shared" si="74"/>
        <v>0</v>
      </c>
      <c r="BM89" s="163">
        <f t="shared" si="75"/>
        <v>1</v>
      </c>
      <c r="BN89" s="163" t="s">
        <v>148</v>
      </c>
      <c r="BO89" s="162" t="s">
        <v>406</v>
      </c>
      <c r="BP89" s="162" t="s">
        <v>1411</v>
      </c>
      <c r="BQ89" s="162" t="s">
        <v>1426</v>
      </c>
    </row>
    <row r="90" spans="1:69">
      <c r="A90" s="159">
        <f t="shared" si="61"/>
        <v>26</v>
      </c>
      <c r="B90" s="159">
        <f t="shared" si="62"/>
        <v>2</v>
      </c>
      <c r="C90" s="160" t="str">
        <f t="shared" si="49"/>
        <v>2602</v>
      </c>
      <c r="D90" s="159" t="s">
        <v>56</v>
      </c>
      <c r="E90" s="161">
        <v>2015</v>
      </c>
      <c r="F90" s="162" t="s">
        <v>403</v>
      </c>
      <c r="G90" s="162" t="s">
        <v>404</v>
      </c>
      <c r="H90" s="163" t="str">
        <f t="shared" si="63"/>
        <v>UM</v>
      </c>
      <c r="I90" s="163" t="s">
        <v>157</v>
      </c>
      <c r="J90" s="180" t="s">
        <v>353</v>
      </c>
      <c r="K90" s="163" t="s">
        <v>186</v>
      </c>
      <c r="L90" s="163" t="s">
        <v>151</v>
      </c>
      <c r="M90" s="163" t="str">
        <f t="shared" si="64"/>
        <v>PCV13 vs NoVax</v>
      </c>
      <c r="N90" s="159" t="s">
        <v>198</v>
      </c>
      <c r="O90" s="159">
        <v>4</v>
      </c>
      <c r="P90" s="162" t="s">
        <v>148</v>
      </c>
      <c r="Q90" s="162" t="s">
        <v>167</v>
      </c>
      <c r="R90" s="162" t="s">
        <v>154</v>
      </c>
      <c r="S90" s="162" t="s">
        <v>155</v>
      </c>
      <c r="T90" s="159">
        <v>2012</v>
      </c>
      <c r="U90" s="165">
        <v>16.34</v>
      </c>
      <c r="V90" s="165">
        <f>IF(ISNUMBER(U90),U90/VLOOKUP($S90,xRates!$A$1:$AA$267,data!$T90-xRates!$B$1+2,FALSE),U90)</f>
        <v>16.34</v>
      </c>
      <c r="W90" s="162" t="s">
        <v>332</v>
      </c>
      <c r="Y90" s="165"/>
      <c r="AA90" s="163" t="s">
        <v>157</v>
      </c>
      <c r="AB90" s="162"/>
      <c r="AC90" s="162" t="str">
        <f t="shared" si="80"/>
        <v/>
      </c>
      <c r="AD90" s="163" t="s">
        <v>157</v>
      </c>
      <c r="AE90" s="162" t="str">
        <f t="shared" si="81"/>
        <v/>
      </c>
      <c r="AF90" s="163" t="s">
        <v>148</v>
      </c>
      <c r="AG90" s="163" t="s">
        <v>148</v>
      </c>
      <c r="AH90" s="163" t="s">
        <v>148</v>
      </c>
      <c r="AJ90" s="162"/>
      <c r="AK90" s="162" t="s">
        <v>407</v>
      </c>
      <c r="AL90" s="163" t="s">
        <v>247</v>
      </c>
      <c r="AM90" s="179">
        <v>1304</v>
      </c>
      <c r="AN90" s="179">
        <v>1304</v>
      </c>
      <c r="AO90" s="179">
        <f t="shared" si="65"/>
        <v>6528.971775</v>
      </c>
      <c r="AP90" s="163" t="str">
        <f t="shared" si="77"/>
        <v>Cost-Effective</v>
      </c>
      <c r="AQ90" s="163" t="str">
        <f t="shared" si="66"/>
        <v>Cost-Effective</v>
      </c>
      <c r="AR90" s="167">
        <f t="shared" si="50"/>
        <v>0.19972517035425535</v>
      </c>
      <c r="AS90" s="167">
        <f t="shared" si="51"/>
        <v>1.08</v>
      </c>
      <c r="AT90" s="159" t="str">
        <f t="shared" si="67"/>
        <v>Cost-Effective</v>
      </c>
      <c r="AU90" s="167">
        <f t="shared" si="52"/>
        <v>0.64</v>
      </c>
      <c r="AV90" s="162" t="str">
        <f t="shared" si="68"/>
        <v>Cost-Effective</v>
      </c>
      <c r="AW90" s="167">
        <f t="shared" si="53"/>
        <v>0.64868436103329219</v>
      </c>
      <c r="AX90" s="159" t="str">
        <f t="shared" si="69"/>
        <v>Cost-Effective</v>
      </c>
      <c r="AY90" s="167">
        <f t="shared" si="54"/>
        <v>0.16487209176159878</v>
      </c>
      <c r="AZ90" s="159" t="str">
        <f t="shared" si="70"/>
        <v>Not Cost-Effective</v>
      </c>
      <c r="BA90" s="167">
        <f t="shared" si="55"/>
        <v>0.88451095719374262</v>
      </c>
      <c r="BB90" s="159" t="str">
        <f t="shared" si="71"/>
        <v>Cost-Effective</v>
      </c>
      <c r="BC90" s="167">
        <f t="shared" si="56"/>
        <v>0.366554090368578</v>
      </c>
      <c r="BD90" s="159" t="str">
        <f t="shared" si="72"/>
        <v>Cost-Effective</v>
      </c>
      <c r="BE90" s="162" t="s">
        <v>210</v>
      </c>
      <c r="BF90" s="162" t="s">
        <v>174</v>
      </c>
      <c r="BG90" s="168">
        <f t="shared" si="57"/>
        <v>0</v>
      </c>
      <c r="BH90" s="168">
        <f t="shared" si="58"/>
        <v>0</v>
      </c>
      <c r="BI90" s="163">
        <f t="shared" si="59"/>
        <v>1</v>
      </c>
      <c r="BJ90" s="163">
        <f t="shared" si="60"/>
        <v>0</v>
      </c>
      <c r="BK90" s="163">
        <f t="shared" si="73"/>
        <v>0</v>
      </c>
      <c r="BL90" s="163">
        <f t="shared" si="74"/>
        <v>0</v>
      </c>
      <c r="BM90" s="163">
        <f t="shared" si="75"/>
        <v>1</v>
      </c>
      <c r="BN90" s="163" t="s">
        <v>148</v>
      </c>
      <c r="BO90" s="162" t="s">
        <v>408</v>
      </c>
      <c r="BP90" s="162" t="s">
        <v>1411</v>
      </c>
      <c r="BQ90" s="162" t="s">
        <v>1426</v>
      </c>
    </row>
    <row r="91" spans="1:69">
      <c r="A91" s="159">
        <f t="shared" si="61"/>
        <v>26</v>
      </c>
      <c r="B91" s="159">
        <f t="shared" si="62"/>
        <v>3</v>
      </c>
      <c r="C91" s="160" t="str">
        <f t="shared" si="49"/>
        <v>2603</v>
      </c>
      <c r="D91" s="159" t="s">
        <v>56</v>
      </c>
      <c r="E91" s="161">
        <v>2015</v>
      </c>
      <c r="F91" s="162" t="s">
        <v>403</v>
      </c>
      <c r="G91" s="162" t="s">
        <v>404</v>
      </c>
      <c r="H91" s="163" t="str">
        <f t="shared" si="63"/>
        <v>UM</v>
      </c>
      <c r="I91" s="163" t="s">
        <v>157</v>
      </c>
      <c r="J91" s="180" t="s">
        <v>371</v>
      </c>
      <c r="K91" s="163" t="s">
        <v>186</v>
      </c>
      <c r="L91" s="163" t="s">
        <v>183</v>
      </c>
      <c r="M91" s="163" t="str">
        <f t="shared" si="64"/>
        <v>PCV13 vs PCV10</v>
      </c>
      <c r="N91" s="159" t="s">
        <v>198</v>
      </c>
      <c r="O91" s="159">
        <v>4</v>
      </c>
      <c r="P91" s="162" t="s">
        <v>148</v>
      </c>
      <c r="Q91" s="162" t="s">
        <v>167</v>
      </c>
      <c r="R91" s="162" t="s">
        <v>154</v>
      </c>
      <c r="S91" s="162" t="s">
        <v>155</v>
      </c>
      <c r="T91" s="159">
        <v>2012</v>
      </c>
      <c r="U91" s="165">
        <v>16.34</v>
      </c>
      <c r="V91" s="165">
        <f>IF(ISNUMBER(U91),U91/VLOOKUP($S91,xRates!$A$1:$AA$267,data!$T91-xRates!$B$1+2,FALSE),U91)</f>
        <v>16.34</v>
      </c>
      <c r="W91" s="162" t="s">
        <v>332</v>
      </c>
      <c r="X91" s="159">
        <v>14.24</v>
      </c>
      <c r="Y91" s="165">
        <v>14.24</v>
      </c>
      <c r="Z91" s="162" t="s">
        <v>332</v>
      </c>
      <c r="AA91" s="163" t="s">
        <v>157</v>
      </c>
      <c r="AB91" s="162"/>
      <c r="AC91" s="162" t="str">
        <f t="shared" si="80"/>
        <v/>
      </c>
      <c r="AD91" s="163" t="s">
        <v>157</v>
      </c>
      <c r="AE91" s="162" t="str">
        <f t="shared" si="81"/>
        <v/>
      </c>
      <c r="AF91" s="163" t="s">
        <v>148</v>
      </c>
      <c r="AG91" s="163" t="s">
        <v>148</v>
      </c>
      <c r="AH91" s="163" t="s">
        <v>148</v>
      </c>
      <c r="AJ91" s="162"/>
      <c r="AK91" s="162" t="s">
        <v>409</v>
      </c>
      <c r="AL91" s="163" t="s">
        <v>247</v>
      </c>
      <c r="AM91" s="179">
        <v>519</v>
      </c>
      <c r="AN91" s="179">
        <v>519</v>
      </c>
      <c r="AO91" s="179">
        <f t="shared" si="65"/>
        <v>6528.971775</v>
      </c>
      <c r="AP91" s="163" t="str">
        <f t="shared" si="77"/>
        <v>Cost-Effective</v>
      </c>
      <c r="AQ91" s="163" t="str">
        <f t="shared" si="66"/>
        <v>Cost-Effective</v>
      </c>
      <c r="AR91" s="167">
        <f t="shared" si="50"/>
        <v>7.9491843108787222E-2</v>
      </c>
      <c r="AS91" s="167">
        <f t="shared" si="51"/>
        <v>1.08</v>
      </c>
      <c r="AT91" s="159" t="str">
        <f t="shared" si="67"/>
        <v>Cost-Effective</v>
      </c>
      <c r="AU91" s="167">
        <f t="shared" si="52"/>
        <v>0.64</v>
      </c>
      <c r="AV91" s="162" t="str">
        <f t="shared" si="68"/>
        <v>Cost-Effective</v>
      </c>
      <c r="AW91" s="167">
        <f t="shared" si="53"/>
        <v>0.64868436103329219</v>
      </c>
      <c r="AX91" s="159" t="str">
        <f t="shared" si="69"/>
        <v>Cost-Effective</v>
      </c>
      <c r="AY91" s="167">
        <f t="shared" si="54"/>
        <v>0.16487209176159878</v>
      </c>
      <c r="AZ91" s="159" t="str">
        <f t="shared" si="70"/>
        <v>Cost-Effective</v>
      </c>
      <c r="BA91" s="167">
        <f t="shared" si="55"/>
        <v>0.88451095719374262</v>
      </c>
      <c r="BB91" s="159" t="str">
        <f t="shared" si="71"/>
        <v>Cost-Effective</v>
      </c>
      <c r="BC91" s="167">
        <f t="shared" si="56"/>
        <v>0.366554090368578</v>
      </c>
      <c r="BD91" s="159" t="str">
        <f t="shared" si="72"/>
        <v>Cost-Effective</v>
      </c>
      <c r="BE91" s="162" t="s">
        <v>210</v>
      </c>
      <c r="BF91" s="162" t="s">
        <v>174</v>
      </c>
      <c r="BG91" s="168">
        <f t="shared" si="57"/>
        <v>0</v>
      </c>
      <c r="BH91" s="168">
        <f t="shared" si="58"/>
        <v>0</v>
      </c>
      <c r="BI91" s="163">
        <f t="shared" si="59"/>
        <v>0</v>
      </c>
      <c r="BJ91" s="163">
        <f t="shared" si="60"/>
        <v>0</v>
      </c>
      <c r="BK91" s="163">
        <f t="shared" si="73"/>
        <v>0</v>
      </c>
      <c r="BL91" s="163">
        <f t="shared" si="74"/>
        <v>0</v>
      </c>
      <c r="BM91" s="163">
        <f t="shared" si="75"/>
        <v>0</v>
      </c>
      <c r="BN91" s="163" t="s">
        <v>148</v>
      </c>
      <c r="BO91" s="162" t="s">
        <v>410</v>
      </c>
      <c r="BP91" s="162" t="s">
        <v>1411</v>
      </c>
      <c r="BQ91" s="162" t="s">
        <v>1426</v>
      </c>
    </row>
    <row r="92" spans="1:69">
      <c r="A92" s="159">
        <f t="shared" si="61"/>
        <v>27</v>
      </c>
      <c r="B92" s="159">
        <f t="shared" si="62"/>
        <v>1</v>
      </c>
      <c r="C92" s="160" t="str">
        <f t="shared" si="49"/>
        <v>2701</v>
      </c>
      <c r="D92" s="159" t="s">
        <v>389</v>
      </c>
      <c r="E92" s="161">
        <v>2017</v>
      </c>
      <c r="F92" s="162" t="s">
        <v>411</v>
      </c>
      <c r="G92" s="162" t="s">
        <v>412</v>
      </c>
      <c r="H92" s="163" t="str">
        <f t="shared" si="63"/>
        <v>LM</v>
      </c>
      <c r="I92" s="163" t="s">
        <v>157</v>
      </c>
      <c r="J92" s="180" t="s">
        <v>347</v>
      </c>
      <c r="K92" s="163" t="s">
        <v>348</v>
      </c>
      <c r="L92" s="163" t="s">
        <v>151</v>
      </c>
      <c r="M92" s="163" t="str">
        <f t="shared" si="64"/>
        <v>PCV9 vs NoVax</v>
      </c>
      <c r="N92" s="159" t="s">
        <v>392</v>
      </c>
      <c r="O92" s="159">
        <v>1</v>
      </c>
      <c r="P92" s="162" t="s">
        <v>148</v>
      </c>
      <c r="Q92" s="162" t="s">
        <v>167</v>
      </c>
      <c r="R92" s="162" t="s">
        <v>154</v>
      </c>
      <c r="S92" s="162" t="s">
        <v>155</v>
      </c>
      <c r="T92" s="159">
        <v>2013</v>
      </c>
      <c r="U92" s="165">
        <v>7.97</v>
      </c>
      <c r="V92" s="165">
        <f>IF(ISNUMBER(U92),U92/VLOOKUP($S92,xRates!$A$1:$AA$267,data!$T92-xRates!$B$1+2,FALSE),U92)</f>
        <v>7.97</v>
      </c>
      <c r="W92" s="162" t="s">
        <v>413</v>
      </c>
      <c r="Y92" s="165"/>
      <c r="AA92" s="163" t="s">
        <v>157</v>
      </c>
      <c r="AB92" s="162"/>
      <c r="AC92" s="162" t="str">
        <f t="shared" si="80"/>
        <v/>
      </c>
      <c r="AD92" s="163" t="s">
        <v>157</v>
      </c>
      <c r="AE92" s="162" t="str">
        <f t="shared" si="81"/>
        <v/>
      </c>
      <c r="AF92" s="163" t="s">
        <v>148</v>
      </c>
      <c r="AG92" s="163" t="s">
        <v>157</v>
      </c>
      <c r="AH92" s="163" t="s">
        <v>157</v>
      </c>
      <c r="AJ92" s="162" t="s">
        <v>358</v>
      </c>
      <c r="AK92" s="162" t="s">
        <v>414</v>
      </c>
      <c r="AL92" s="163" t="s">
        <v>247</v>
      </c>
      <c r="AM92" s="179">
        <v>148</v>
      </c>
      <c r="AN92" s="179">
        <v>148</v>
      </c>
      <c r="AO92" s="179">
        <f t="shared" si="65"/>
        <v>1779.47036531513</v>
      </c>
      <c r="AP92" s="163" t="str">
        <f t="shared" si="77"/>
        <v>Cost-Effective</v>
      </c>
      <c r="AQ92" s="163" t="str">
        <f t="shared" si="66"/>
        <v>Cost-Effective</v>
      </c>
      <c r="AR92" s="167">
        <f t="shared" si="50"/>
        <v>8.3170814690016137E-2</v>
      </c>
      <c r="AS92" s="167" t="str">
        <f t="shared" si="51"/>
        <v>.</v>
      </c>
      <c r="AT92" s="159" t="str">
        <f t="shared" si="67"/>
        <v>.</v>
      </c>
      <c r="AU92" s="167" t="str">
        <f t="shared" si="52"/>
        <v>.</v>
      </c>
      <c r="AV92" s="162" t="str">
        <f t="shared" si="68"/>
        <v>.</v>
      </c>
      <c r="AW92" s="167">
        <f t="shared" si="53"/>
        <v>0.34673238286310781</v>
      </c>
      <c r="AX92" s="159" t="str">
        <f t="shared" si="69"/>
        <v>Cost-Effective</v>
      </c>
      <c r="AY92" s="167">
        <f t="shared" si="54"/>
        <v>2.2478598564869227E-2</v>
      </c>
      <c r="AZ92" s="159" t="str">
        <f t="shared" si="70"/>
        <v>Not Cost-Effective</v>
      </c>
      <c r="BA92" s="167" t="str">
        <f t="shared" si="55"/>
        <v>.</v>
      </c>
      <c r="BB92" s="159" t="str">
        <f t="shared" si="71"/>
        <v>.</v>
      </c>
      <c r="BC92" s="167" t="str">
        <f t="shared" si="56"/>
        <v>.</v>
      </c>
      <c r="BD92" s="159" t="str">
        <f t="shared" si="72"/>
        <v>.</v>
      </c>
      <c r="BE92" s="162" t="s">
        <v>210</v>
      </c>
      <c r="BF92" s="162" t="s">
        <v>174</v>
      </c>
      <c r="BG92" s="168">
        <f t="shared" si="57"/>
        <v>0</v>
      </c>
      <c r="BH92" s="168">
        <f t="shared" si="58"/>
        <v>0</v>
      </c>
      <c r="BI92" s="163">
        <f t="shared" si="59"/>
        <v>1</v>
      </c>
      <c r="BJ92" s="163">
        <f t="shared" si="60"/>
        <v>0</v>
      </c>
      <c r="BK92" s="163">
        <f t="shared" si="73"/>
        <v>0</v>
      </c>
      <c r="BL92" s="163">
        <f t="shared" si="74"/>
        <v>0</v>
      </c>
      <c r="BM92" s="163">
        <f t="shared" si="75"/>
        <v>1</v>
      </c>
      <c r="BN92" s="163" t="s">
        <v>157</v>
      </c>
      <c r="BO92" s="162" t="str">
        <f t="shared" ref="BO92:BO98" si="82">IF(BN92="No", "", "")</f>
        <v/>
      </c>
      <c r="BP92" s="162" t="s">
        <v>1403</v>
      </c>
      <c r="BQ92" s="162" t="s">
        <v>1403</v>
      </c>
    </row>
    <row r="93" spans="1:69">
      <c r="A93" s="159">
        <f t="shared" si="61"/>
        <v>27</v>
      </c>
      <c r="B93" s="159">
        <f t="shared" si="62"/>
        <v>2</v>
      </c>
      <c r="C93" s="160" t="str">
        <f t="shared" si="49"/>
        <v>2702</v>
      </c>
      <c r="D93" s="159" t="s">
        <v>389</v>
      </c>
      <c r="E93" s="161">
        <v>2017</v>
      </c>
      <c r="F93" s="162" t="s">
        <v>411</v>
      </c>
      <c r="G93" s="162" t="s">
        <v>412</v>
      </c>
      <c r="H93" s="163" t="str">
        <f t="shared" si="63"/>
        <v>LM</v>
      </c>
      <c r="I93" s="163" t="s">
        <v>157</v>
      </c>
      <c r="J93" s="180" t="s">
        <v>347</v>
      </c>
      <c r="K93" s="163" t="s">
        <v>348</v>
      </c>
      <c r="L93" s="163" t="s">
        <v>151</v>
      </c>
      <c r="M93" s="163" t="str">
        <f t="shared" si="64"/>
        <v>PCV9 vs NoVax</v>
      </c>
      <c r="N93" s="159" t="s">
        <v>383</v>
      </c>
      <c r="O93" s="159">
        <v>2</v>
      </c>
      <c r="P93" s="162" t="s">
        <v>148</v>
      </c>
      <c r="Q93" s="162" t="s">
        <v>167</v>
      </c>
      <c r="R93" s="162" t="s">
        <v>154</v>
      </c>
      <c r="S93" s="162" t="s">
        <v>155</v>
      </c>
      <c r="T93" s="159">
        <v>2013</v>
      </c>
      <c r="U93" s="165">
        <v>7.97</v>
      </c>
      <c r="V93" s="165">
        <f>IF(ISNUMBER(U93),U93/VLOOKUP($S93,xRates!$A$1:$AA$267,data!$T93-xRates!$B$1+2,FALSE),U93)</f>
        <v>7.97</v>
      </c>
      <c r="W93" s="162" t="s">
        <v>413</v>
      </c>
      <c r="Y93" s="165"/>
      <c r="AA93" s="163" t="s">
        <v>157</v>
      </c>
      <c r="AB93" s="162"/>
      <c r="AC93" s="162" t="str">
        <f t="shared" si="80"/>
        <v/>
      </c>
      <c r="AD93" s="163" t="s">
        <v>157</v>
      </c>
      <c r="AE93" s="162" t="str">
        <f t="shared" si="81"/>
        <v/>
      </c>
      <c r="AF93" s="163" t="s">
        <v>148</v>
      </c>
      <c r="AG93" s="163" t="s">
        <v>157</v>
      </c>
      <c r="AH93" s="163" t="s">
        <v>157</v>
      </c>
      <c r="AJ93" s="162" t="s">
        <v>358</v>
      </c>
      <c r="AK93" s="162" t="s">
        <v>415</v>
      </c>
      <c r="AL93" s="163" t="s">
        <v>247</v>
      </c>
      <c r="AM93" s="179">
        <v>210</v>
      </c>
      <c r="AN93" s="179">
        <v>210</v>
      </c>
      <c r="AO93" s="179">
        <f t="shared" si="65"/>
        <v>1779.47036531513</v>
      </c>
      <c r="AP93" s="163" t="str">
        <f t="shared" si="77"/>
        <v>Cost-Effective</v>
      </c>
      <c r="AQ93" s="163" t="str">
        <f t="shared" si="66"/>
        <v>Cost-Effective</v>
      </c>
      <c r="AR93" s="167">
        <f t="shared" si="50"/>
        <v>0.11801264246556344</v>
      </c>
      <c r="AS93" s="167" t="str">
        <f t="shared" si="51"/>
        <v>.</v>
      </c>
      <c r="AT93" s="159" t="str">
        <f t="shared" si="67"/>
        <v>.</v>
      </c>
      <c r="AU93" s="167" t="str">
        <f t="shared" si="52"/>
        <v>.</v>
      </c>
      <c r="AV93" s="162" t="str">
        <f t="shared" si="68"/>
        <v>.</v>
      </c>
      <c r="AW93" s="167">
        <f t="shared" si="53"/>
        <v>0.34673238286310781</v>
      </c>
      <c r="AX93" s="159" t="str">
        <f t="shared" si="69"/>
        <v>Cost-Effective</v>
      </c>
      <c r="AY93" s="167">
        <f t="shared" si="54"/>
        <v>2.2478598564869227E-2</v>
      </c>
      <c r="AZ93" s="159" t="str">
        <f t="shared" si="70"/>
        <v>Not Cost-Effective</v>
      </c>
      <c r="BA93" s="167" t="str">
        <f t="shared" si="55"/>
        <v>.</v>
      </c>
      <c r="BB93" s="159" t="str">
        <f t="shared" si="71"/>
        <v>.</v>
      </c>
      <c r="BC93" s="167" t="str">
        <f t="shared" si="56"/>
        <v>.</v>
      </c>
      <c r="BD93" s="159" t="str">
        <f t="shared" si="72"/>
        <v>.</v>
      </c>
      <c r="BE93" s="162" t="s">
        <v>210</v>
      </c>
      <c r="BF93" s="162" t="s">
        <v>174</v>
      </c>
      <c r="BG93" s="168">
        <f t="shared" si="57"/>
        <v>0</v>
      </c>
      <c r="BH93" s="168">
        <f t="shared" si="58"/>
        <v>0</v>
      </c>
      <c r="BI93" s="163">
        <f t="shared" si="59"/>
        <v>1</v>
      </c>
      <c r="BJ93" s="163">
        <f t="shared" si="60"/>
        <v>0</v>
      </c>
      <c r="BK93" s="163">
        <f t="shared" si="73"/>
        <v>0</v>
      </c>
      <c r="BL93" s="163">
        <f t="shared" si="74"/>
        <v>0</v>
      </c>
      <c r="BM93" s="163">
        <f t="shared" si="75"/>
        <v>1</v>
      </c>
      <c r="BN93" s="163" t="s">
        <v>157</v>
      </c>
      <c r="BO93" s="162" t="str">
        <f t="shared" si="82"/>
        <v/>
      </c>
      <c r="BP93" s="162" t="s">
        <v>1403</v>
      </c>
      <c r="BQ93" s="162" t="s">
        <v>1403</v>
      </c>
    </row>
    <row r="94" spans="1:69">
      <c r="A94" s="159">
        <f t="shared" si="61"/>
        <v>28</v>
      </c>
      <c r="B94" s="159">
        <f t="shared" si="62"/>
        <v>1</v>
      </c>
      <c r="C94" s="160" t="str">
        <f t="shared" si="49"/>
        <v>2801</v>
      </c>
      <c r="D94" s="159" t="s">
        <v>416</v>
      </c>
      <c r="E94" s="161">
        <v>2018</v>
      </c>
      <c r="F94" s="162" t="s">
        <v>417</v>
      </c>
      <c r="G94" s="162" t="s">
        <v>330</v>
      </c>
      <c r="H94" s="163" t="str">
        <f t="shared" si="63"/>
        <v>UM</v>
      </c>
      <c r="I94" s="163" t="s">
        <v>157</v>
      </c>
      <c r="J94" s="180" t="s">
        <v>352</v>
      </c>
      <c r="K94" s="163" t="s">
        <v>183</v>
      </c>
      <c r="L94" s="163" t="s">
        <v>151</v>
      </c>
      <c r="M94" s="163" t="str">
        <f t="shared" si="64"/>
        <v>PCV10 vs NoVax</v>
      </c>
      <c r="N94" s="159" t="s">
        <v>198</v>
      </c>
      <c r="O94" s="159">
        <v>4</v>
      </c>
      <c r="P94" s="162" t="s">
        <v>148</v>
      </c>
      <c r="Q94" s="162" t="s">
        <v>167</v>
      </c>
      <c r="R94" s="162" t="s">
        <v>154</v>
      </c>
      <c r="S94" s="162" t="s">
        <v>155</v>
      </c>
      <c r="T94" s="159">
        <v>2014</v>
      </c>
      <c r="U94" s="165" t="s">
        <v>178</v>
      </c>
      <c r="V94" s="165" t="s">
        <v>178</v>
      </c>
      <c r="W94" s="162" t="s">
        <v>177</v>
      </c>
      <c r="Y94" s="165"/>
      <c r="AA94" s="163" t="s">
        <v>157</v>
      </c>
      <c r="AB94" s="162"/>
      <c r="AC94" s="162" t="str">
        <f t="shared" si="80"/>
        <v/>
      </c>
      <c r="AD94" s="163" t="s">
        <v>157</v>
      </c>
      <c r="AE94" s="162" t="str">
        <f t="shared" si="81"/>
        <v/>
      </c>
      <c r="AF94" s="163" t="s">
        <v>148</v>
      </c>
      <c r="AG94" s="163" t="s">
        <v>148</v>
      </c>
      <c r="AH94" s="163" t="s">
        <v>157</v>
      </c>
      <c r="AJ94" s="162"/>
      <c r="AK94" s="162" t="s">
        <v>418</v>
      </c>
      <c r="AL94" s="163" t="s">
        <v>247</v>
      </c>
      <c r="AM94" s="179">
        <v>27748</v>
      </c>
      <c r="AN94" s="179">
        <v>27748</v>
      </c>
      <c r="AO94" s="179">
        <f t="shared" si="65"/>
        <v>12112.83496</v>
      </c>
      <c r="AP94" s="163" t="str">
        <f t="shared" si="77"/>
        <v>Not Cost-Effective</v>
      </c>
      <c r="AQ94" s="163" t="str">
        <f t="shared" si="66"/>
        <v>Cost-Effective</v>
      </c>
      <c r="AR94" s="167">
        <f t="shared" si="50"/>
        <v>2.2907932033773868</v>
      </c>
      <c r="AS94" s="167">
        <f t="shared" si="51"/>
        <v>1.0900000000000001</v>
      </c>
      <c r="AT94" s="159" t="str">
        <f t="shared" si="67"/>
        <v>Not Cost-Effective</v>
      </c>
      <c r="AU94" s="167">
        <f t="shared" si="52"/>
        <v>0.71</v>
      </c>
      <c r="AV94" s="162" t="str">
        <f t="shared" si="68"/>
        <v>Not Cost-Effective</v>
      </c>
      <c r="AW94" s="167">
        <f t="shared" si="53"/>
        <v>0.61331405073457201</v>
      </c>
      <c r="AX94" s="159" t="str">
        <f t="shared" si="69"/>
        <v>Not Cost-Effective</v>
      </c>
      <c r="AY94" s="167">
        <f t="shared" si="54"/>
        <v>0.19454672897770822</v>
      </c>
      <c r="AZ94" s="159" t="str">
        <f t="shared" si="70"/>
        <v>Not Cost-Effective</v>
      </c>
      <c r="BA94" s="167">
        <f t="shared" si="55"/>
        <v>1.6739433928535268</v>
      </c>
      <c r="BB94" s="159" t="str">
        <f t="shared" si="71"/>
        <v>Not Cost-Effective</v>
      </c>
      <c r="BC94" s="167">
        <f t="shared" si="56"/>
        <v>0.69378626051328196</v>
      </c>
      <c r="BD94" s="159" t="str">
        <f t="shared" si="72"/>
        <v>Not Cost-Effective</v>
      </c>
      <c r="BE94" s="162" t="s">
        <v>173</v>
      </c>
      <c r="BF94" s="162" t="s">
        <v>174</v>
      </c>
      <c r="BG94" s="168">
        <f t="shared" si="57"/>
        <v>1</v>
      </c>
      <c r="BH94" s="168">
        <f t="shared" si="58"/>
        <v>1</v>
      </c>
      <c r="BI94" s="163">
        <f t="shared" si="59"/>
        <v>1</v>
      </c>
      <c r="BJ94" s="163">
        <f t="shared" si="60"/>
        <v>1</v>
      </c>
      <c r="BK94" s="163">
        <f t="shared" si="73"/>
        <v>1</v>
      </c>
      <c r="BL94" s="163">
        <f t="shared" si="74"/>
        <v>1</v>
      </c>
      <c r="BM94" s="163">
        <f t="shared" si="75"/>
        <v>6</v>
      </c>
      <c r="BN94" s="163" t="s">
        <v>157</v>
      </c>
      <c r="BO94" s="162" t="str">
        <f t="shared" si="82"/>
        <v/>
      </c>
      <c r="BP94" s="162" t="s">
        <v>1403</v>
      </c>
      <c r="BQ94" s="162" t="s">
        <v>1403</v>
      </c>
    </row>
    <row r="95" spans="1:69">
      <c r="A95" s="159">
        <f t="shared" si="61"/>
        <v>29</v>
      </c>
      <c r="B95" s="159">
        <f t="shared" si="62"/>
        <v>1</v>
      </c>
      <c r="C95" s="160" t="str">
        <f t="shared" si="49"/>
        <v>2901</v>
      </c>
      <c r="D95" s="159" t="s">
        <v>419</v>
      </c>
      <c r="E95" s="161">
        <v>2018</v>
      </c>
      <c r="F95" s="162" t="s">
        <v>420</v>
      </c>
      <c r="G95" s="162" t="s">
        <v>421</v>
      </c>
      <c r="H95" s="163" t="str">
        <f t="shared" si="63"/>
        <v>UM</v>
      </c>
      <c r="I95" s="163" t="s">
        <v>157</v>
      </c>
      <c r="J95" s="180" t="s">
        <v>352</v>
      </c>
      <c r="K95" s="163" t="s">
        <v>183</v>
      </c>
      <c r="L95" s="163" t="s">
        <v>151</v>
      </c>
      <c r="M95" s="163" t="str">
        <f t="shared" si="64"/>
        <v>PCV10 vs NoVax</v>
      </c>
      <c r="N95" s="159" t="s">
        <v>152</v>
      </c>
      <c r="O95" s="159">
        <v>3</v>
      </c>
      <c r="P95" s="162" t="s">
        <v>148</v>
      </c>
      <c r="Q95" s="162" t="s">
        <v>167</v>
      </c>
      <c r="R95" s="162" t="s">
        <v>422</v>
      </c>
      <c r="S95" s="162" t="s">
        <v>423</v>
      </c>
      <c r="T95" s="159">
        <v>2008</v>
      </c>
      <c r="U95" s="165">
        <v>20.04</v>
      </c>
      <c r="V95" s="165">
        <f>(U95*1057.875)/1967.711</f>
        <v>10.773845854396301</v>
      </c>
      <c r="W95" s="162" t="s">
        <v>177</v>
      </c>
      <c r="Y95" s="165"/>
      <c r="AA95" s="163" t="s">
        <v>157</v>
      </c>
      <c r="AB95" s="162"/>
      <c r="AC95" s="162" t="str">
        <f t="shared" si="80"/>
        <v/>
      </c>
      <c r="AD95" s="163" t="s">
        <v>157</v>
      </c>
      <c r="AE95" s="162" t="str">
        <f t="shared" si="81"/>
        <v/>
      </c>
      <c r="AF95" s="163" t="s">
        <v>148</v>
      </c>
      <c r="AG95" s="163" t="s">
        <v>148</v>
      </c>
      <c r="AH95" s="163" t="s">
        <v>148</v>
      </c>
      <c r="AJ95" s="162"/>
      <c r="AK95" s="162" t="s">
        <v>424</v>
      </c>
      <c r="AL95" s="163" t="s">
        <v>247</v>
      </c>
      <c r="AM95" s="179">
        <v>1417</v>
      </c>
      <c r="AN95" s="179">
        <f>(AM95*1057.875)/1967.711</f>
        <v>761.80337203989814</v>
      </c>
      <c r="AO95" s="179">
        <f t="shared" si="65"/>
        <v>5472.5365300000003</v>
      </c>
      <c r="AP95" s="163" t="str">
        <f t="shared" si="77"/>
        <v>Cost-Effective</v>
      </c>
      <c r="AQ95" s="163" t="str">
        <f t="shared" si="66"/>
        <v>Cost-Effective</v>
      </c>
      <c r="AR95" s="167">
        <f t="shared" si="50"/>
        <v>0.13920480345151723</v>
      </c>
      <c r="AS95" s="167">
        <f t="shared" si="51"/>
        <v>1.89</v>
      </c>
      <c r="AT95" s="159" t="str">
        <f t="shared" si="67"/>
        <v>Cost-Effective</v>
      </c>
      <c r="AU95" s="167">
        <f t="shared" si="52"/>
        <v>1.17</v>
      </c>
      <c r="AV95" s="162" t="str">
        <f t="shared" si="68"/>
        <v>Cost-Effective</v>
      </c>
      <c r="AW95" s="167">
        <f t="shared" si="53"/>
        <v>0.67142448878179284</v>
      </c>
      <c r="AX95" s="159" t="str">
        <f t="shared" si="69"/>
        <v>Cost-Effective</v>
      </c>
      <c r="AY95" s="167">
        <f t="shared" si="54"/>
        <v>0.16670017209696561</v>
      </c>
      <c r="AZ95" s="159" t="str">
        <f t="shared" si="70"/>
        <v>Cost-Effective</v>
      </c>
      <c r="BA95" s="167">
        <f t="shared" si="55"/>
        <v>1.3237396338136047</v>
      </c>
      <c r="BB95" s="159" t="str">
        <f t="shared" si="71"/>
        <v>Cost-Effective</v>
      </c>
      <c r="BC95" s="167">
        <f t="shared" si="56"/>
        <v>0.54863988350299309</v>
      </c>
      <c r="BD95" s="159" t="str">
        <f t="shared" si="72"/>
        <v>Cost-Effective</v>
      </c>
      <c r="BE95" s="162" t="s">
        <v>210</v>
      </c>
      <c r="BF95" s="162" t="s">
        <v>174</v>
      </c>
      <c r="BG95" s="168">
        <f t="shared" si="57"/>
        <v>0</v>
      </c>
      <c r="BH95" s="168">
        <f t="shared" si="58"/>
        <v>0</v>
      </c>
      <c r="BI95" s="163">
        <f t="shared" si="59"/>
        <v>0</v>
      </c>
      <c r="BJ95" s="163">
        <f t="shared" si="60"/>
        <v>0</v>
      </c>
      <c r="BK95" s="163">
        <f t="shared" si="73"/>
        <v>0</v>
      </c>
      <c r="BL95" s="163">
        <f t="shared" si="74"/>
        <v>0</v>
      </c>
      <c r="BM95" s="163">
        <f t="shared" si="75"/>
        <v>0</v>
      </c>
      <c r="BN95" s="163" t="s">
        <v>157</v>
      </c>
      <c r="BO95" s="162" t="str">
        <f t="shared" si="82"/>
        <v/>
      </c>
      <c r="BP95" s="162" t="s">
        <v>1403</v>
      </c>
      <c r="BQ95" s="162" t="s">
        <v>1403</v>
      </c>
    </row>
    <row r="96" spans="1:69">
      <c r="A96" s="159">
        <f t="shared" si="61"/>
        <v>29</v>
      </c>
      <c r="B96" s="159">
        <f t="shared" si="62"/>
        <v>2</v>
      </c>
      <c r="C96" s="160" t="str">
        <f t="shared" si="49"/>
        <v>2902</v>
      </c>
      <c r="D96" s="159" t="s">
        <v>419</v>
      </c>
      <c r="E96" s="161">
        <v>2018</v>
      </c>
      <c r="F96" s="162" t="s">
        <v>420</v>
      </c>
      <c r="G96" s="162" t="s">
        <v>421</v>
      </c>
      <c r="H96" s="163" t="str">
        <f t="shared" si="63"/>
        <v>UM</v>
      </c>
      <c r="I96" s="163" t="s">
        <v>157</v>
      </c>
      <c r="J96" s="180" t="s">
        <v>352</v>
      </c>
      <c r="K96" s="163" t="s">
        <v>183</v>
      </c>
      <c r="L96" s="163" t="s">
        <v>151</v>
      </c>
      <c r="M96" s="163" t="str">
        <f t="shared" si="64"/>
        <v>PCV10 vs NoVax</v>
      </c>
      <c r="N96" s="159" t="s">
        <v>152</v>
      </c>
      <c r="O96" s="159">
        <v>3</v>
      </c>
      <c r="P96" s="162" t="s">
        <v>148</v>
      </c>
      <c r="Q96" s="162" t="s">
        <v>153</v>
      </c>
      <c r="R96" s="162" t="s">
        <v>422</v>
      </c>
      <c r="S96" s="162" t="s">
        <v>423</v>
      </c>
      <c r="T96" s="159">
        <v>2008</v>
      </c>
      <c r="U96" s="165">
        <v>20.04</v>
      </c>
      <c r="V96" s="165">
        <f>(U96*1057.875)/1967.711</f>
        <v>10.773845854396301</v>
      </c>
      <c r="W96" s="162" t="s">
        <v>177</v>
      </c>
      <c r="Y96" s="165"/>
      <c r="AA96" s="163" t="s">
        <v>157</v>
      </c>
      <c r="AB96" s="162"/>
      <c r="AC96" s="162" t="str">
        <f t="shared" si="80"/>
        <v/>
      </c>
      <c r="AD96" s="163" t="s">
        <v>157</v>
      </c>
      <c r="AE96" s="162" t="str">
        <f t="shared" si="81"/>
        <v/>
      </c>
      <c r="AF96" s="163" t="s">
        <v>148</v>
      </c>
      <c r="AG96" s="163" t="s">
        <v>148</v>
      </c>
      <c r="AH96" s="163" t="s">
        <v>148</v>
      </c>
      <c r="AJ96" s="162"/>
      <c r="AK96" s="162" t="s">
        <v>425</v>
      </c>
      <c r="AL96" s="163" t="s">
        <v>247</v>
      </c>
      <c r="AM96" s="179">
        <v>1301</v>
      </c>
      <c r="AN96" s="179">
        <f>(AM96*1057.875)/1967.711</f>
        <v>699.4397932419954</v>
      </c>
      <c r="AO96" s="179">
        <f t="shared" si="65"/>
        <v>5472.5365300000003</v>
      </c>
      <c r="AP96" s="163" t="str">
        <f t="shared" si="77"/>
        <v>Cost-Effective</v>
      </c>
      <c r="AQ96" s="163" t="str">
        <f t="shared" si="66"/>
        <v>Cost-Effective</v>
      </c>
      <c r="AR96" s="167">
        <f t="shared" si="50"/>
        <v>0.12780906795372188</v>
      </c>
      <c r="AS96" s="167">
        <f t="shared" si="51"/>
        <v>1.89</v>
      </c>
      <c r="AT96" s="159" t="str">
        <f t="shared" si="67"/>
        <v>Cost-Effective</v>
      </c>
      <c r="AU96" s="167">
        <f t="shared" si="52"/>
        <v>1.17</v>
      </c>
      <c r="AV96" s="162" t="str">
        <f t="shared" si="68"/>
        <v>Cost-Effective</v>
      </c>
      <c r="AW96" s="167">
        <f t="shared" si="53"/>
        <v>0.67142448878179284</v>
      </c>
      <c r="AX96" s="159" t="str">
        <f t="shared" si="69"/>
        <v>Cost-Effective</v>
      </c>
      <c r="AY96" s="167">
        <f t="shared" si="54"/>
        <v>0.16670017209696561</v>
      </c>
      <c r="AZ96" s="159" t="str">
        <f t="shared" si="70"/>
        <v>Cost-Effective</v>
      </c>
      <c r="BA96" s="167">
        <f t="shared" si="55"/>
        <v>1.3237396338136047</v>
      </c>
      <c r="BB96" s="159" t="str">
        <f t="shared" si="71"/>
        <v>Cost-Effective</v>
      </c>
      <c r="BC96" s="167">
        <f t="shared" si="56"/>
        <v>0.54863988350299309</v>
      </c>
      <c r="BD96" s="159" t="str">
        <f t="shared" si="72"/>
        <v>Cost-Effective</v>
      </c>
      <c r="BE96" s="162" t="s">
        <v>210</v>
      </c>
      <c r="BF96" s="162" t="s">
        <v>174</v>
      </c>
      <c r="BG96" s="168">
        <f t="shared" si="57"/>
        <v>0</v>
      </c>
      <c r="BH96" s="168">
        <f t="shared" si="58"/>
        <v>0</v>
      </c>
      <c r="BI96" s="163">
        <f t="shared" si="59"/>
        <v>0</v>
      </c>
      <c r="BJ96" s="163">
        <f t="shared" si="60"/>
        <v>0</v>
      </c>
      <c r="BK96" s="163">
        <f t="shared" si="73"/>
        <v>0</v>
      </c>
      <c r="BL96" s="163">
        <f t="shared" si="74"/>
        <v>0</v>
      </c>
      <c r="BM96" s="163">
        <f t="shared" si="75"/>
        <v>0</v>
      </c>
      <c r="BN96" s="163" t="s">
        <v>157</v>
      </c>
      <c r="BO96" s="162" t="str">
        <f t="shared" si="82"/>
        <v/>
      </c>
      <c r="BP96" s="162" t="s">
        <v>1403</v>
      </c>
      <c r="BQ96" s="162" t="s">
        <v>1403</v>
      </c>
    </row>
    <row r="97" spans="1:70">
      <c r="A97" s="159">
        <f t="shared" si="61"/>
        <v>30</v>
      </c>
      <c r="B97" s="159">
        <f t="shared" si="62"/>
        <v>1</v>
      </c>
      <c r="C97" s="160" t="str">
        <f t="shared" si="49"/>
        <v>3001</v>
      </c>
      <c r="D97" s="159" t="s">
        <v>426</v>
      </c>
      <c r="E97" s="161">
        <v>2019</v>
      </c>
      <c r="F97" s="162" t="s">
        <v>427</v>
      </c>
      <c r="G97" s="162" t="s">
        <v>428</v>
      </c>
      <c r="H97" s="163" t="str">
        <f t="shared" si="63"/>
        <v>L</v>
      </c>
      <c r="I97" s="163" t="s">
        <v>157</v>
      </c>
      <c r="J97" s="180" t="s">
        <v>429</v>
      </c>
      <c r="K97" s="163" t="s">
        <v>183</v>
      </c>
      <c r="L97" s="163" t="s">
        <v>151</v>
      </c>
      <c r="M97" s="163" t="str">
        <f t="shared" si="64"/>
        <v>PCV10 vs NoVax</v>
      </c>
      <c r="N97" s="159" t="s">
        <v>331</v>
      </c>
      <c r="O97" s="159">
        <v>3</v>
      </c>
      <c r="P97" s="162" t="s">
        <v>148</v>
      </c>
      <c r="Q97" s="162" t="s">
        <v>153</v>
      </c>
      <c r="R97" s="162" t="s">
        <v>154</v>
      </c>
      <c r="S97" s="162" t="s">
        <v>155</v>
      </c>
      <c r="T97" s="159">
        <v>2013</v>
      </c>
      <c r="U97" s="165">
        <v>6.5</v>
      </c>
      <c r="V97" s="165">
        <f>IF(ISNUMBER(U97),U97/VLOOKUP($S97,xRates!$A$1:$AA$267,data!$T97-xRates!$B$1+2,FALSE),U97)</f>
        <v>6.5</v>
      </c>
      <c r="W97" s="162" t="s">
        <v>323</v>
      </c>
      <c r="Y97" s="165"/>
      <c r="AA97" s="163" t="s">
        <v>157</v>
      </c>
      <c r="AB97" s="162"/>
      <c r="AC97" s="162" t="str">
        <f t="shared" si="80"/>
        <v/>
      </c>
      <c r="AD97" s="163" t="s">
        <v>157</v>
      </c>
      <c r="AE97" s="162" t="str">
        <f t="shared" si="81"/>
        <v/>
      </c>
      <c r="AF97" s="163" t="s">
        <v>148</v>
      </c>
      <c r="AG97" s="163" t="s">
        <v>148</v>
      </c>
      <c r="AH97" s="163" t="s">
        <v>148</v>
      </c>
      <c r="AJ97" s="162"/>
      <c r="AK97" s="162" t="s">
        <v>430</v>
      </c>
      <c r="AL97" s="163" t="s">
        <v>247</v>
      </c>
      <c r="AM97" s="179">
        <v>268</v>
      </c>
      <c r="AN97" s="179">
        <f>AM97</f>
        <v>268</v>
      </c>
      <c r="AO97" s="179">
        <f t="shared" si="65"/>
        <v>499.531530164228</v>
      </c>
      <c r="AP97" s="163" t="str">
        <f t="shared" si="77"/>
        <v>Cost-Effective</v>
      </c>
      <c r="AQ97" s="163" t="str">
        <f t="shared" si="66"/>
        <v>Cost-Effective</v>
      </c>
      <c r="AR97" s="167">
        <f t="shared" si="50"/>
        <v>0.53650267063600821</v>
      </c>
      <c r="AS97" s="167">
        <f t="shared" si="51"/>
        <v>0.36</v>
      </c>
      <c r="AT97" s="159" t="str">
        <f t="shared" si="67"/>
        <v>Not Cost-Effective</v>
      </c>
      <c r="AU97" s="167">
        <f t="shared" si="52"/>
        <v>0.27</v>
      </c>
      <c r="AV97" s="162" t="str">
        <f t="shared" si="68"/>
        <v>Not Cost-Effective</v>
      </c>
      <c r="AW97" s="167">
        <f t="shared" si="53"/>
        <v>0.51047828735888834</v>
      </c>
      <c r="AX97" s="159" t="str">
        <f t="shared" si="69"/>
        <v>Not Cost-Effective</v>
      </c>
      <c r="AY97" s="167">
        <f t="shared" si="54"/>
        <v>2.0018756367015229E-2</v>
      </c>
      <c r="AZ97" s="159" t="str">
        <f t="shared" si="70"/>
        <v>Not Cost-Effective</v>
      </c>
      <c r="BA97" s="167">
        <f t="shared" si="55"/>
        <v>0.22669884000909932</v>
      </c>
      <c r="BB97" s="159" t="str">
        <f t="shared" si="71"/>
        <v>Not Cost-Effective</v>
      </c>
      <c r="BC97" s="167">
        <f t="shared" si="56"/>
        <v>4.5573478146159141E-2</v>
      </c>
      <c r="BD97" s="159" t="str">
        <f t="shared" si="72"/>
        <v>Not Cost-Effective</v>
      </c>
      <c r="BE97" s="162" t="s">
        <v>173</v>
      </c>
      <c r="BF97" s="162" t="s">
        <v>174</v>
      </c>
      <c r="BG97" s="168">
        <f t="shared" si="57"/>
        <v>1</v>
      </c>
      <c r="BH97" s="168">
        <f t="shared" si="58"/>
        <v>1</v>
      </c>
      <c r="BI97" s="163">
        <f t="shared" si="59"/>
        <v>1</v>
      </c>
      <c r="BJ97" s="163">
        <f t="shared" si="60"/>
        <v>1</v>
      </c>
      <c r="BK97" s="163">
        <f t="shared" si="73"/>
        <v>1</v>
      </c>
      <c r="BL97" s="163">
        <f t="shared" si="74"/>
        <v>1</v>
      </c>
      <c r="BM97" s="163">
        <f t="shared" si="75"/>
        <v>6</v>
      </c>
      <c r="BN97" s="163" t="s">
        <v>157</v>
      </c>
      <c r="BO97" s="162" t="str">
        <f t="shared" si="82"/>
        <v/>
      </c>
      <c r="BP97" s="162" t="s">
        <v>1412</v>
      </c>
      <c r="BQ97" s="162" t="s">
        <v>1426</v>
      </c>
      <c r="BR97" s="162" t="s">
        <v>431</v>
      </c>
    </row>
    <row r="98" spans="1:70">
      <c r="A98" s="159">
        <f t="shared" si="61"/>
        <v>30</v>
      </c>
      <c r="B98" s="159">
        <f t="shared" si="62"/>
        <v>2</v>
      </c>
      <c r="C98" s="160" t="str">
        <f t="shared" si="49"/>
        <v>3002</v>
      </c>
      <c r="D98" s="159" t="s">
        <v>426</v>
      </c>
      <c r="E98" s="161">
        <v>2019</v>
      </c>
      <c r="F98" s="162" t="s">
        <v>427</v>
      </c>
      <c r="G98" s="162" t="s">
        <v>428</v>
      </c>
      <c r="H98" s="163" t="str">
        <f t="shared" si="63"/>
        <v>L</v>
      </c>
      <c r="I98" s="163" t="s">
        <v>157</v>
      </c>
      <c r="J98" s="180" t="s">
        <v>432</v>
      </c>
      <c r="K98" s="163" t="s">
        <v>183</v>
      </c>
      <c r="L98" s="163" t="s">
        <v>151</v>
      </c>
      <c r="M98" s="163" t="str">
        <f t="shared" si="64"/>
        <v>PCV10 vs NoVax</v>
      </c>
      <c r="N98" s="159" t="s">
        <v>331</v>
      </c>
      <c r="O98" s="159">
        <v>3</v>
      </c>
      <c r="P98" s="162" t="s">
        <v>148</v>
      </c>
      <c r="Q98" s="162" t="s">
        <v>153</v>
      </c>
      <c r="R98" s="162" t="s">
        <v>154</v>
      </c>
      <c r="S98" s="162" t="s">
        <v>155</v>
      </c>
      <c r="T98" s="159">
        <v>2013</v>
      </c>
      <c r="U98" s="165">
        <v>6.5</v>
      </c>
      <c r="V98" s="165">
        <f>IF(ISNUMBER(U98),U98/VLOOKUP($S98,xRates!$A$1:$AA$267,data!$T98-xRates!$B$1+2,FALSE),U98)</f>
        <v>6.5</v>
      </c>
      <c r="W98" s="162" t="s">
        <v>323</v>
      </c>
      <c r="Y98" s="165"/>
      <c r="AA98" s="163" t="s">
        <v>157</v>
      </c>
      <c r="AB98" s="162"/>
      <c r="AC98" s="162" t="str">
        <f t="shared" si="80"/>
        <v/>
      </c>
      <c r="AD98" s="163" t="s">
        <v>157</v>
      </c>
      <c r="AE98" s="162" t="str">
        <f t="shared" si="81"/>
        <v/>
      </c>
      <c r="AF98" s="163" t="s">
        <v>148</v>
      </c>
      <c r="AG98" s="163" t="s">
        <v>148</v>
      </c>
      <c r="AH98" s="163" t="s">
        <v>148</v>
      </c>
      <c r="AJ98" s="162"/>
      <c r="AK98" s="162" t="s">
        <v>433</v>
      </c>
      <c r="AL98" s="163" t="s">
        <v>247</v>
      </c>
      <c r="AM98" s="179">
        <v>292.7</v>
      </c>
      <c r="AN98" s="179">
        <v>281.39999999999998</v>
      </c>
      <c r="AO98" s="179">
        <f t="shared" si="65"/>
        <v>499.531530164228</v>
      </c>
      <c r="AP98" s="163" t="str">
        <f t="shared" si="77"/>
        <v>Cost-Effective</v>
      </c>
      <c r="AQ98" s="163" t="str">
        <f t="shared" si="66"/>
        <v>Cost-Effective</v>
      </c>
      <c r="AR98" s="167">
        <f t="shared" si="50"/>
        <v>0.56332780416780859</v>
      </c>
      <c r="AS98" s="167">
        <f t="shared" ref="AS98:AS129" si="83">IFERROR(VLOOKUP(G98,ochalek,11,FALSE),".")</f>
        <v>0.36</v>
      </c>
      <c r="AT98" s="159" t="str">
        <f t="shared" si="67"/>
        <v>Not Cost-Effective</v>
      </c>
      <c r="AU98" s="167">
        <f t="shared" ref="AU98:AU129" si="84">IFERROR(VLOOKUP(G98,ochalek,10,FALSE),".")</f>
        <v>0.27</v>
      </c>
      <c r="AV98" s="162" t="str">
        <f t="shared" si="68"/>
        <v>Not Cost-Effective</v>
      </c>
      <c r="AW98" s="167">
        <f t="shared" ref="AW98:AW129" si="85">IFERROR(VLOOKUP(G98,woods,6,FALSE),".")</f>
        <v>0.51047828735888834</v>
      </c>
      <c r="AX98" s="159" t="str">
        <f t="shared" si="69"/>
        <v>Not Cost-Effective</v>
      </c>
      <c r="AY98" s="167">
        <f t="shared" ref="AY98:AY129" si="86">IFERROR(VLOOKUP(G98,woods,5,FALSE),".")</f>
        <v>2.0018756367015229E-2</v>
      </c>
      <c r="AZ98" s="159" t="str">
        <f t="shared" si="70"/>
        <v>Not Cost-Effective</v>
      </c>
      <c r="BA98" s="167">
        <f t="shared" ref="BA98:BA129" si="87">IFERROR(VLOOKUP(G98,riviere,8,FALSE),".")</f>
        <v>0.22669884000909932</v>
      </c>
      <c r="BB98" s="159" t="str">
        <f t="shared" si="71"/>
        <v>Not Cost-Effective</v>
      </c>
      <c r="BC98" s="167">
        <f t="shared" ref="BC98:BC129" si="88">IFERROR(VLOOKUP(G98,riviere,7,FALSE),".")</f>
        <v>4.5573478146159141E-2</v>
      </c>
      <c r="BD98" s="159" t="str">
        <f t="shared" si="72"/>
        <v>Not Cost-Effective</v>
      </c>
      <c r="BE98" s="162" t="s">
        <v>173</v>
      </c>
      <c r="BF98" s="162" t="s">
        <v>174</v>
      </c>
      <c r="BG98" s="168">
        <f t="shared" ref="BG98:BG129" si="89">IF(BF98="Cost-Effective",IF(AV98="Not Cost-Effective",1,0),".")</f>
        <v>1</v>
      </c>
      <c r="BH98" s="168">
        <f t="shared" ref="BH98:BH129" si="90">IF(BF98="Cost-Effective",IF(AT98="Not Cost-Effective",1,0),".")</f>
        <v>1</v>
      </c>
      <c r="BI98" s="163">
        <f t="shared" ref="BI98:BI129" si="91">IF(BF98="Cost-Effective",IF(AZ98="Not Cost-Effective",1,0),".")</f>
        <v>1</v>
      </c>
      <c r="BJ98" s="163">
        <f t="shared" ref="BJ98:BJ129" si="92">IF(BF98="Cost-Effective",IF(AX98="Not Cost-Effective",1,0),".")</f>
        <v>1</v>
      </c>
      <c r="BK98" s="163">
        <f t="shared" si="73"/>
        <v>1</v>
      </c>
      <c r="BL98" s="163">
        <f t="shared" si="74"/>
        <v>1</v>
      </c>
      <c r="BM98" s="163">
        <f t="shared" si="75"/>
        <v>6</v>
      </c>
      <c r="BN98" s="163" t="s">
        <v>157</v>
      </c>
      <c r="BO98" s="162" t="str">
        <f t="shared" si="82"/>
        <v/>
      </c>
      <c r="BP98" s="162" t="s">
        <v>1412</v>
      </c>
      <c r="BQ98" s="162" t="s">
        <v>1426</v>
      </c>
      <c r="BR98" s="162" t="s">
        <v>434</v>
      </c>
    </row>
    <row r="99" spans="1:70">
      <c r="A99" s="159">
        <f t="shared" si="61"/>
        <v>31</v>
      </c>
      <c r="B99" s="159">
        <f t="shared" si="62"/>
        <v>1</v>
      </c>
      <c r="C99" s="160" t="str">
        <f t="shared" si="49"/>
        <v>3101</v>
      </c>
      <c r="D99" s="159" t="s">
        <v>435</v>
      </c>
      <c r="E99" s="161">
        <v>2019</v>
      </c>
      <c r="F99" s="162" t="s">
        <v>436</v>
      </c>
      <c r="G99" s="162" t="s">
        <v>382</v>
      </c>
      <c r="H99" s="163" t="str">
        <f t="shared" ref="H99:H131" si="93">VLOOKUP(G99,income,T99-1985,FALSE)</f>
        <v>LM</v>
      </c>
      <c r="I99" s="163" t="s">
        <v>157</v>
      </c>
      <c r="J99" s="180" t="s">
        <v>352</v>
      </c>
      <c r="K99" s="163" t="s">
        <v>183</v>
      </c>
      <c r="L99" s="163" t="s">
        <v>151</v>
      </c>
      <c r="M99" s="163" t="str">
        <f t="shared" si="64"/>
        <v>PCV10 vs NoVax</v>
      </c>
      <c r="N99" s="159" t="s">
        <v>437</v>
      </c>
      <c r="O99" s="159">
        <v>4</v>
      </c>
      <c r="P99" s="162" t="s">
        <v>148</v>
      </c>
      <c r="Q99" s="162" t="s">
        <v>153</v>
      </c>
      <c r="R99" s="162" t="s">
        <v>154</v>
      </c>
      <c r="S99" s="162" t="s">
        <v>155</v>
      </c>
      <c r="T99" s="159">
        <v>2016</v>
      </c>
      <c r="U99" s="165">
        <v>3.05</v>
      </c>
      <c r="V99" s="165">
        <f>IF(ISNUMBER(U99),U99/VLOOKUP($S99,xRates!$A$1:$AA$267,data!$T99-xRates!$B$1+2,FALSE),U99)</f>
        <v>3.05</v>
      </c>
      <c r="W99" s="162" t="s">
        <v>323</v>
      </c>
      <c r="Y99" s="165"/>
      <c r="AA99" s="163" t="s">
        <v>157</v>
      </c>
      <c r="AB99" s="162"/>
      <c r="AC99" s="162" t="str">
        <f t="shared" si="80"/>
        <v/>
      </c>
      <c r="AD99" s="163" t="s">
        <v>157</v>
      </c>
      <c r="AE99" s="162" t="str">
        <f t="shared" si="81"/>
        <v/>
      </c>
      <c r="AF99" s="163" t="s">
        <v>148</v>
      </c>
      <c r="AG99" s="163" t="s">
        <v>148</v>
      </c>
      <c r="AH99" s="163" t="s">
        <v>157</v>
      </c>
      <c r="AJ99" s="162"/>
      <c r="AK99" s="162" t="s">
        <v>438</v>
      </c>
      <c r="AL99" s="163" t="s">
        <v>247</v>
      </c>
      <c r="AM99" s="179">
        <v>153</v>
      </c>
      <c r="AN99" s="179">
        <v>153</v>
      </c>
      <c r="AO99" s="179">
        <f t="shared" ref="AO99:AO131" si="94">VLOOKUP(G99,gdppc,T99-1958,FALSE)</f>
        <v>1525.2351920000001</v>
      </c>
      <c r="AP99" s="163" t="str">
        <f t="shared" si="77"/>
        <v>Cost-Effective</v>
      </c>
      <c r="AQ99" s="163" t="str">
        <f t="shared" si="66"/>
        <v>Cost-Effective</v>
      </c>
      <c r="AR99" s="167">
        <f t="shared" si="50"/>
        <v>0.10031239824684034</v>
      </c>
      <c r="AS99" s="167">
        <f t="shared" si="83"/>
        <v>0.47</v>
      </c>
      <c r="AT99" s="159" t="str">
        <f t="shared" si="67"/>
        <v>Cost-Effective</v>
      </c>
      <c r="AU99" s="167">
        <f t="shared" si="84"/>
        <v>0.36</v>
      </c>
      <c r="AV99" s="162" t="str">
        <f t="shared" si="68"/>
        <v>Cost-Effective</v>
      </c>
      <c r="AW99" s="167">
        <f t="shared" si="85"/>
        <v>0.38307648302682684</v>
      </c>
      <c r="AX99" s="159" t="str">
        <f t="shared" si="69"/>
        <v>Cost-Effective</v>
      </c>
      <c r="AY99" s="167">
        <f t="shared" si="86"/>
        <v>2.3619359261769671E-2</v>
      </c>
      <c r="AZ99" s="159" t="str">
        <f t="shared" si="70"/>
        <v>Not Cost-Effective</v>
      </c>
      <c r="BA99" s="167">
        <f t="shared" si="87"/>
        <v>0.405720265287076</v>
      </c>
      <c r="BB99" s="159" t="str">
        <f t="shared" si="71"/>
        <v>Cost-Effective</v>
      </c>
      <c r="BC99" s="167">
        <f t="shared" si="88"/>
        <v>0.16312464274428828</v>
      </c>
      <c r="BD99" s="159" t="str">
        <f t="shared" si="72"/>
        <v>Cost-Effective</v>
      </c>
      <c r="BE99" s="162" t="s">
        <v>210</v>
      </c>
      <c r="BF99" s="162" t="s">
        <v>174</v>
      </c>
      <c r="BG99" s="168">
        <f t="shared" si="89"/>
        <v>0</v>
      </c>
      <c r="BH99" s="168">
        <f t="shared" si="90"/>
        <v>0</v>
      </c>
      <c r="BI99" s="163">
        <f t="shared" si="91"/>
        <v>1</v>
      </c>
      <c r="BJ99" s="163">
        <f t="shared" si="92"/>
        <v>0</v>
      </c>
      <c r="BK99" s="163">
        <f t="shared" si="73"/>
        <v>0</v>
      </c>
      <c r="BL99" s="163">
        <f t="shared" si="74"/>
        <v>0</v>
      </c>
      <c r="BM99" s="163">
        <f t="shared" si="75"/>
        <v>1</v>
      </c>
      <c r="BN99" s="163" t="s">
        <v>148</v>
      </c>
      <c r="BO99" s="162" t="s">
        <v>439</v>
      </c>
      <c r="BP99" s="162" t="s">
        <v>1413</v>
      </c>
      <c r="BQ99" s="162" t="s">
        <v>1428</v>
      </c>
      <c r="BR99" s="162" t="s">
        <v>440</v>
      </c>
    </row>
    <row r="100" spans="1:70">
      <c r="A100" s="159">
        <f t="shared" si="61"/>
        <v>32</v>
      </c>
      <c r="B100" s="159">
        <f t="shared" si="62"/>
        <v>1</v>
      </c>
      <c r="C100" s="160" t="str">
        <f t="shared" si="49"/>
        <v>3201</v>
      </c>
      <c r="D100" s="159" t="s">
        <v>441</v>
      </c>
      <c r="E100" s="161">
        <v>2019</v>
      </c>
      <c r="F100" s="162" t="s">
        <v>442</v>
      </c>
      <c r="G100" s="162" t="s">
        <v>443</v>
      </c>
      <c r="H100" s="163" t="str">
        <f t="shared" si="93"/>
        <v>UM</v>
      </c>
      <c r="I100" s="163" t="s">
        <v>157</v>
      </c>
      <c r="J100" s="180" t="s">
        <v>353</v>
      </c>
      <c r="K100" s="163" t="s">
        <v>186</v>
      </c>
      <c r="L100" s="163" t="s">
        <v>151</v>
      </c>
      <c r="M100" s="163" t="str">
        <f t="shared" si="64"/>
        <v>PCV13 vs NoVax</v>
      </c>
      <c r="N100" s="159" t="s">
        <v>331</v>
      </c>
      <c r="O100" s="159">
        <v>3</v>
      </c>
      <c r="P100" s="162" t="s">
        <v>148</v>
      </c>
      <c r="Q100" s="162" t="s">
        <v>167</v>
      </c>
      <c r="R100" s="162" t="s">
        <v>154</v>
      </c>
      <c r="S100" s="162" t="s">
        <v>155</v>
      </c>
      <c r="T100" s="159">
        <v>2014</v>
      </c>
      <c r="U100" s="165">
        <v>20</v>
      </c>
      <c r="V100" s="165">
        <f>IF(ISNUMBER(U100),U100/VLOOKUP($S100,xRates!$A$1:$AA$267,data!$T100-xRates!$B$1+2,FALSE),U100)</f>
        <v>20</v>
      </c>
      <c r="W100" s="162" t="s">
        <v>279</v>
      </c>
      <c r="Y100" s="165"/>
      <c r="AA100" s="163" t="s">
        <v>157</v>
      </c>
      <c r="AB100" s="162"/>
      <c r="AC100" s="162" t="str">
        <f t="shared" si="80"/>
        <v/>
      </c>
      <c r="AD100" s="163" t="s">
        <v>157</v>
      </c>
      <c r="AE100" s="162" t="str">
        <f t="shared" si="81"/>
        <v/>
      </c>
      <c r="AF100" s="163" t="s">
        <v>148</v>
      </c>
      <c r="AG100" s="163" t="s">
        <v>148</v>
      </c>
      <c r="AH100" s="163" t="s">
        <v>148</v>
      </c>
      <c r="AJ100" s="162"/>
      <c r="AK100" s="162" t="s">
        <v>444</v>
      </c>
      <c r="AL100" s="163" t="s">
        <v>247</v>
      </c>
      <c r="AM100" s="179">
        <v>1890</v>
      </c>
      <c r="AN100" s="179">
        <v>1890</v>
      </c>
      <c r="AO100" s="179">
        <f t="shared" si="94"/>
        <v>5585.5256040000004</v>
      </c>
      <c r="AP100" s="163" t="str">
        <f t="shared" si="77"/>
        <v>Cost-Effective</v>
      </c>
      <c r="AQ100" s="163" t="str">
        <f t="shared" si="66"/>
        <v>Cost-Effective</v>
      </c>
      <c r="AR100" s="167">
        <f t="shared" si="50"/>
        <v>0.33837460142452869</v>
      </c>
      <c r="AS100" s="167" t="str">
        <f t="shared" si="83"/>
        <v>.</v>
      </c>
      <c r="AT100" s="159" t="str">
        <f t="shared" si="67"/>
        <v>.</v>
      </c>
      <c r="AU100" s="167" t="str">
        <f t="shared" si="84"/>
        <v>.</v>
      </c>
      <c r="AV100" s="162" t="str">
        <f t="shared" si="68"/>
        <v>.</v>
      </c>
      <c r="AW100" s="167">
        <f t="shared" si="85"/>
        <v>0.52689097161017251</v>
      </c>
      <c r="AX100" s="159" t="str">
        <f t="shared" si="69"/>
        <v>Cost-Effective</v>
      </c>
      <c r="AY100" s="167">
        <f t="shared" si="86"/>
        <v>0.17513184612965055</v>
      </c>
      <c r="AZ100" s="159" t="str">
        <f t="shared" si="70"/>
        <v>Not Cost-Effective</v>
      </c>
      <c r="BA100" s="167">
        <f t="shared" si="87"/>
        <v>2.6568225612650944</v>
      </c>
      <c r="BB100" s="159" t="str">
        <f t="shared" si="71"/>
        <v>Cost-Effective</v>
      </c>
      <c r="BC100" s="167">
        <f t="shared" si="88"/>
        <v>1.1009358988009679</v>
      </c>
      <c r="BD100" s="159" t="str">
        <f t="shared" si="72"/>
        <v>Cost-Effective</v>
      </c>
      <c r="BE100" s="162" t="s">
        <v>210</v>
      </c>
      <c r="BF100" s="162" t="s">
        <v>174</v>
      </c>
      <c r="BG100" s="168">
        <f t="shared" si="89"/>
        <v>0</v>
      </c>
      <c r="BH100" s="168">
        <f t="shared" si="90"/>
        <v>0</v>
      </c>
      <c r="BI100" s="163">
        <f t="shared" si="91"/>
        <v>1</v>
      </c>
      <c r="BJ100" s="163">
        <f t="shared" si="92"/>
        <v>0</v>
      </c>
      <c r="BK100" s="163">
        <f t="shared" si="73"/>
        <v>0</v>
      </c>
      <c r="BL100" s="163">
        <f t="shared" si="74"/>
        <v>0</v>
      </c>
      <c r="BM100" s="163">
        <f t="shared" si="75"/>
        <v>1</v>
      </c>
      <c r="BN100" s="163" t="s">
        <v>157</v>
      </c>
      <c r="BO100" s="162" t="str">
        <f t="shared" ref="BO100:BO113" si="95">IF(BN100="No", "", "")</f>
        <v/>
      </c>
      <c r="BP100" s="162" t="s">
        <v>1409</v>
      </c>
      <c r="BQ100" s="162" t="s">
        <v>1426</v>
      </c>
      <c r="BR100" s="162" t="s">
        <v>445</v>
      </c>
    </row>
    <row r="101" spans="1:70">
      <c r="A101" s="159">
        <f t="shared" si="61"/>
        <v>32</v>
      </c>
      <c r="B101" s="159">
        <f t="shared" si="62"/>
        <v>2</v>
      </c>
      <c r="C101" s="160" t="str">
        <f t="shared" si="49"/>
        <v>3202</v>
      </c>
      <c r="D101" s="159" t="s">
        <v>441</v>
      </c>
      <c r="E101" s="161">
        <v>2019</v>
      </c>
      <c r="F101" s="162" t="s">
        <v>442</v>
      </c>
      <c r="G101" s="162" t="s">
        <v>443</v>
      </c>
      <c r="H101" s="163" t="str">
        <f t="shared" si="93"/>
        <v>UM</v>
      </c>
      <c r="I101" s="163" t="s">
        <v>157</v>
      </c>
      <c r="J101" s="180" t="s">
        <v>353</v>
      </c>
      <c r="K101" s="163" t="s">
        <v>186</v>
      </c>
      <c r="L101" s="163" t="s">
        <v>151</v>
      </c>
      <c r="M101" s="163" t="str">
        <f t="shared" si="64"/>
        <v>PCV13 vs NoVax</v>
      </c>
      <c r="N101" s="159" t="s">
        <v>331</v>
      </c>
      <c r="O101" s="159">
        <v>3</v>
      </c>
      <c r="P101" s="162" t="s">
        <v>148</v>
      </c>
      <c r="Q101" s="162" t="s">
        <v>153</v>
      </c>
      <c r="R101" s="162" t="s">
        <v>154</v>
      </c>
      <c r="S101" s="162" t="s">
        <v>155</v>
      </c>
      <c r="T101" s="159">
        <v>2014</v>
      </c>
      <c r="U101" s="165">
        <v>20</v>
      </c>
      <c r="V101" s="165">
        <f>IF(ISNUMBER(U101),U101/VLOOKUP($S101,xRates!$A$1:$AA$267,data!$T101-xRates!$B$1+2,FALSE),U101)</f>
        <v>20</v>
      </c>
      <c r="W101" s="162" t="s">
        <v>279</v>
      </c>
      <c r="Y101" s="165"/>
      <c r="AA101" s="163" t="s">
        <v>157</v>
      </c>
      <c r="AB101" s="162"/>
      <c r="AC101" s="162" t="str">
        <f t="shared" si="80"/>
        <v/>
      </c>
      <c r="AD101" s="163" t="s">
        <v>157</v>
      </c>
      <c r="AE101" s="162" t="str">
        <f t="shared" si="81"/>
        <v/>
      </c>
      <c r="AF101" s="163" t="s">
        <v>148</v>
      </c>
      <c r="AG101" s="163" t="s">
        <v>148</v>
      </c>
      <c r="AH101" s="163" t="s">
        <v>148</v>
      </c>
      <c r="AJ101" s="162"/>
      <c r="AK101" s="162" t="s">
        <v>446</v>
      </c>
      <c r="AL101" s="163" t="s">
        <v>247</v>
      </c>
      <c r="AM101" s="179">
        <v>1538</v>
      </c>
      <c r="AN101" s="179">
        <v>1538</v>
      </c>
      <c r="AO101" s="179">
        <f t="shared" si="94"/>
        <v>5585.5256040000004</v>
      </c>
      <c r="AP101" s="163" t="str">
        <f t="shared" si="77"/>
        <v>Cost-Effective</v>
      </c>
      <c r="AQ101" s="163" t="str">
        <f t="shared" si="66"/>
        <v>Cost-Effective</v>
      </c>
      <c r="AR101" s="167">
        <f t="shared" si="50"/>
        <v>0.27535456983646833</v>
      </c>
      <c r="AS101" s="167" t="str">
        <f t="shared" si="83"/>
        <v>.</v>
      </c>
      <c r="AT101" s="159" t="str">
        <f t="shared" si="67"/>
        <v>.</v>
      </c>
      <c r="AU101" s="167" t="str">
        <f t="shared" si="84"/>
        <v>.</v>
      </c>
      <c r="AV101" s="162" t="str">
        <f t="shared" si="68"/>
        <v>.</v>
      </c>
      <c r="AW101" s="167">
        <f t="shared" si="85"/>
        <v>0.52689097161017251</v>
      </c>
      <c r="AX101" s="159" t="str">
        <f t="shared" si="69"/>
        <v>Cost-Effective</v>
      </c>
      <c r="AY101" s="167">
        <f t="shared" si="86"/>
        <v>0.17513184612965055</v>
      </c>
      <c r="AZ101" s="159" t="str">
        <f t="shared" si="70"/>
        <v>Not Cost-Effective</v>
      </c>
      <c r="BA101" s="167">
        <f t="shared" si="87"/>
        <v>2.6568225612650944</v>
      </c>
      <c r="BB101" s="159" t="str">
        <f t="shared" si="71"/>
        <v>Cost-Effective</v>
      </c>
      <c r="BC101" s="167">
        <f t="shared" si="88"/>
        <v>1.1009358988009679</v>
      </c>
      <c r="BD101" s="159" t="str">
        <f t="shared" si="72"/>
        <v>Cost-Effective</v>
      </c>
      <c r="BE101" s="162" t="s">
        <v>210</v>
      </c>
      <c r="BF101" s="162" t="s">
        <v>174</v>
      </c>
      <c r="BG101" s="168">
        <f t="shared" si="89"/>
        <v>0</v>
      </c>
      <c r="BH101" s="168">
        <f t="shared" si="90"/>
        <v>0</v>
      </c>
      <c r="BI101" s="163">
        <f t="shared" si="91"/>
        <v>1</v>
      </c>
      <c r="BJ101" s="163">
        <f t="shared" si="92"/>
        <v>0</v>
      </c>
      <c r="BK101" s="163">
        <f t="shared" si="73"/>
        <v>0</v>
      </c>
      <c r="BL101" s="163">
        <f t="shared" si="74"/>
        <v>0</v>
      </c>
      <c r="BM101" s="163">
        <f t="shared" si="75"/>
        <v>1</v>
      </c>
      <c r="BN101" s="163" t="s">
        <v>157</v>
      </c>
      <c r="BO101" s="162" t="str">
        <f t="shared" si="95"/>
        <v/>
      </c>
      <c r="BP101" s="162" t="s">
        <v>1409</v>
      </c>
      <c r="BQ101" s="162" t="s">
        <v>1426</v>
      </c>
      <c r="BR101" s="162" t="s">
        <v>445</v>
      </c>
    </row>
    <row r="102" spans="1:70">
      <c r="A102" s="159">
        <f t="shared" si="61"/>
        <v>33</v>
      </c>
      <c r="B102" s="159">
        <f t="shared" si="62"/>
        <v>1</v>
      </c>
      <c r="C102" s="160" t="str">
        <f t="shared" si="49"/>
        <v>3301</v>
      </c>
      <c r="D102" s="159" t="s">
        <v>447</v>
      </c>
      <c r="E102" s="161">
        <v>2020</v>
      </c>
      <c r="F102" s="162" t="s">
        <v>448</v>
      </c>
      <c r="G102" s="162" t="s">
        <v>449</v>
      </c>
      <c r="H102" s="163" t="str">
        <f t="shared" si="93"/>
        <v>UM</v>
      </c>
      <c r="I102" s="163" t="s">
        <v>157</v>
      </c>
      <c r="J102" s="180" t="s">
        <v>149</v>
      </c>
      <c r="K102" s="163" t="s">
        <v>150</v>
      </c>
      <c r="L102" s="163" t="s">
        <v>151</v>
      </c>
      <c r="M102" s="163" t="str">
        <f t="shared" si="64"/>
        <v>PCV7 vs NoVax</v>
      </c>
      <c r="N102" s="159" t="s">
        <v>331</v>
      </c>
      <c r="O102" s="159">
        <v>3</v>
      </c>
      <c r="P102" s="162" t="s">
        <v>148</v>
      </c>
      <c r="Q102" s="162" t="s">
        <v>167</v>
      </c>
      <c r="R102" s="162" t="s">
        <v>450</v>
      </c>
      <c r="S102" s="162" t="s">
        <v>449</v>
      </c>
      <c r="T102" s="159">
        <v>2016</v>
      </c>
      <c r="U102" s="165">
        <v>7</v>
      </c>
      <c r="V102" s="165">
        <f>U102/24</f>
        <v>0.29166666666666669</v>
      </c>
      <c r="W102" s="162" t="s">
        <v>451</v>
      </c>
      <c r="Y102" s="165"/>
      <c r="AA102" s="163" t="s">
        <v>157</v>
      </c>
      <c r="AB102" s="162"/>
      <c r="AC102" s="162" t="str">
        <f t="shared" si="80"/>
        <v/>
      </c>
      <c r="AD102" s="163" t="s">
        <v>157</v>
      </c>
      <c r="AE102" s="162" t="str">
        <f t="shared" si="81"/>
        <v/>
      </c>
      <c r="AF102" s="163" t="s">
        <v>148</v>
      </c>
      <c r="AG102" s="163" t="s">
        <v>148</v>
      </c>
      <c r="AH102" s="163" t="s">
        <v>148</v>
      </c>
      <c r="AJ102" s="162" t="s">
        <v>171</v>
      </c>
      <c r="AK102" s="162" t="s">
        <v>452</v>
      </c>
      <c r="AL102" s="163" t="s">
        <v>247</v>
      </c>
      <c r="AM102" s="179">
        <v>374</v>
      </c>
      <c r="AN102" s="179">
        <f>AM102/24</f>
        <v>15.583333333333334</v>
      </c>
      <c r="AO102" s="179">
        <f t="shared" si="94"/>
        <v>8060.7965979999999</v>
      </c>
      <c r="AP102" s="163" t="str">
        <f t="shared" si="77"/>
        <v>Cost-Effective</v>
      </c>
      <c r="AQ102" s="163" t="str">
        <f t="shared" si="66"/>
        <v>Cost-Effective</v>
      </c>
      <c r="AR102" s="167">
        <f t="shared" si="50"/>
        <v>1.9332249789307157E-3</v>
      </c>
      <c r="AS102" s="167" t="str">
        <f t="shared" si="83"/>
        <v>.</v>
      </c>
      <c r="AT102" s="159" t="str">
        <f t="shared" si="67"/>
        <v>.</v>
      </c>
      <c r="AU102" s="167" t="str">
        <f t="shared" si="84"/>
        <v>.</v>
      </c>
      <c r="AV102" s="162" t="str">
        <f t="shared" si="68"/>
        <v>.</v>
      </c>
      <c r="AW102" s="167" t="str">
        <f t="shared" si="85"/>
        <v>.</v>
      </c>
      <c r="AX102" s="159" t="str">
        <f t="shared" si="69"/>
        <v>.</v>
      </c>
      <c r="AY102" s="167" t="str">
        <f t="shared" si="86"/>
        <v>.</v>
      </c>
      <c r="AZ102" s="159" t="str">
        <f t="shared" si="70"/>
        <v>.</v>
      </c>
      <c r="BA102" s="167">
        <f t="shared" si="87"/>
        <v>2.0516380568464494</v>
      </c>
      <c r="BB102" s="159" t="str">
        <f t="shared" si="71"/>
        <v>Cost-Effective</v>
      </c>
      <c r="BC102" s="167">
        <f t="shared" si="88"/>
        <v>0.85032907766535526</v>
      </c>
      <c r="BD102" s="159" t="str">
        <f t="shared" si="72"/>
        <v>Cost-Effective</v>
      </c>
      <c r="BE102" s="162" t="s">
        <v>210</v>
      </c>
      <c r="BF102" s="162" t="s">
        <v>174</v>
      </c>
      <c r="BG102" s="168">
        <f t="shared" si="89"/>
        <v>0</v>
      </c>
      <c r="BH102" s="168">
        <f t="shared" si="90"/>
        <v>0</v>
      </c>
      <c r="BI102" s="163">
        <f t="shared" si="91"/>
        <v>0</v>
      </c>
      <c r="BJ102" s="163">
        <f t="shared" si="92"/>
        <v>0</v>
      </c>
      <c r="BK102" s="163">
        <f t="shared" si="73"/>
        <v>0</v>
      </c>
      <c r="BL102" s="163">
        <f t="shared" si="74"/>
        <v>0</v>
      </c>
      <c r="BM102" s="163">
        <f t="shared" si="75"/>
        <v>0</v>
      </c>
      <c r="BN102" s="163" t="s">
        <v>157</v>
      </c>
      <c r="BO102" s="162" t="str">
        <f t="shared" si="95"/>
        <v/>
      </c>
      <c r="BP102" s="162" t="s">
        <v>1429</v>
      </c>
      <c r="BQ102" s="162" t="s">
        <v>1428</v>
      </c>
    </row>
    <row r="103" spans="1:70">
      <c r="A103" s="159">
        <f t="shared" si="61"/>
        <v>34</v>
      </c>
      <c r="B103" s="159">
        <f t="shared" si="62"/>
        <v>1</v>
      </c>
      <c r="C103" s="160" t="str">
        <f t="shared" si="49"/>
        <v>3401</v>
      </c>
      <c r="D103" s="159" t="s">
        <v>453</v>
      </c>
      <c r="E103" s="161">
        <v>2012</v>
      </c>
      <c r="F103" s="162" t="s">
        <v>454</v>
      </c>
      <c r="G103" s="162" t="s">
        <v>455</v>
      </c>
      <c r="H103" s="163" t="str">
        <f t="shared" si="93"/>
        <v>UM</v>
      </c>
      <c r="I103" s="163" t="s">
        <v>157</v>
      </c>
      <c r="J103" s="180" t="s">
        <v>456</v>
      </c>
      <c r="K103" s="163" t="s">
        <v>186</v>
      </c>
      <c r="L103" s="163" t="s">
        <v>150</v>
      </c>
      <c r="M103" s="163" t="str">
        <f t="shared" si="64"/>
        <v>PCV13 vs PCV7</v>
      </c>
      <c r="N103" s="159" t="s">
        <v>198</v>
      </c>
      <c r="O103" s="159">
        <v>4</v>
      </c>
      <c r="P103" s="162" t="s">
        <v>148</v>
      </c>
      <c r="Q103" s="162" t="s">
        <v>167</v>
      </c>
      <c r="R103" s="162" t="s">
        <v>154</v>
      </c>
      <c r="S103" s="162" t="s">
        <v>155</v>
      </c>
      <c r="T103" s="159">
        <v>2011</v>
      </c>
      <c r="U103" s="165">
        <v>55</v>
      </c>
      <c r="V103" s="165">
        <f>IF(ISNUMBER(U103),U103/VLOOKUP($S103,xRates!$A$1:$AA$267,data!$T103-xRates!$B$1+2,FALSE),U103)</f>
        <v>55</v>
      </c>
      <c r="W103" s="162" t="s">
        <v>457</v>
      </c>
      <c r="X103" s="159">
        <v>55</v>
      </c>
      <c r="Y103" s="165">
        <v>55</v>
      </c>
      <c r="Z103" s="162" t="s">
        <v>457</v>
      </c>
      <c r="AA103" s="163" t="s">
        <v>157</v>
      </c>
      <c r="AB103" s="162"/>
      <c r="AC103" s="162" t="str">
        <f t="shared" si="80"/>
        <v/>
      </c>
      <c r="AD103" s="163" t="s">
        <v>157</v>
      </c>
      <c r="AE103" s="162" t="str">
        <f t="shared" si="81"/>
        <v/>
      </c>
      <c r="AF103" s="163" t="s">
        <v>148</v>
      </c>
      <c r="AG103" s="163" t="s">
        <v>148</v>
      </c>
      <c r="AH103" s="163" t="s">
        <v>148</v>
      </c>
      <c r="AJ103" s="162" t="s">
        <v>458</v>
      </c>
      <c r="AK103" s="162" t="s">
        <v>459</v>
      </c>
      <c r="AL103" s="163" t="s">
        <v>159</v>
      </c>
      <c r="AM103" s="179">
        <f>-3483803/2223</f>
        <v>-1567.1628430049482</v>
      </c>
      <c r="AN103" s="179">
        <v>-2223</v>
      </c>
      <c r="AO103" s="179">
        <f t="shared" si="94"/>
        <v>11420.55546</v>
      </c>
      <c r="AP103" s="163" t="str">
        <f t="shared" si="77"/>
        <v>Cost-Saving</v>
      </c>
      <c r="AQ103" s="163" t="str">
        <f t="shared" si="66"/>
        <v>Cost-Saving</v>
      </c>
      <c r="AR103" s="167">
        <f t="shared" si="50"/>
        <v>-0.19464902629175623</v>
      </c>
      <c r="AS103" s="167">
        <f t="shared" si="83"/>
        <v>1.43</v>
      </c>
      <c r="AT103" s="159" t="str">
        <f t="shared" si="67"/>
        <v>Cost-Saving</v>
      </c>
      <c r="AU103" s="167">
        <f t="shared" si="84"/>
        <v>0.82</v>
      </c>
      <c r="AV103" s="162" t="str">
        <f t="shared" si="68"/>
        <v>Cost-Saving</v>
      </c>
      <c r="AW103" s="167">
        <f t="shared" si="85"/>
        <v>0.54388575340378054</v>
      </c>
      <c r="AX103" s="159" t="str">
        <f t="shared" si="69"/>
        <v>Cost-Saving</v>
      </c>
      <c r="AY103" s="167">
        <f t="shared" si="86"/>
        <v>0.2338526413848058</v>
      </c>
      <c r="AZ103" s="159" t="str">
        <f t="shared" si="70"/>
        <v>Cost-Saving</v>
      </c>
      <c r="BA103" s="167">
        <f t="shared" si="87"/>
        <v>0.76018072360236422</v>
      </c>
      <c r="BB103" s="159" t="str">
        <f t="shared" si="71"/>
        <v>Cost-Saving</v>
      </c>
      <c r="BC103" s="167">
        <f t="shared" si="88"/>
        <v>0.31507923271318067</v>
      </c>
      <c r="BD103" s="159" t="str">
        <f t="shared" si="72"/>
        <v>Cost-Saving</v>
      </c>
      <c r="BE103" s="162" t="s">
        <v>178</v>
      </c>
      <c r="BF103" s="162" t="s">
        <v>239</v>
      </c>
      <c r="BG103" s="168" t="str">
        <f t="shared" si="89"/>
        <v>.</v>
      </c>
      <c r="BH103" s="168" t="str">
        <f t="shared" si="90"/>
        <v>.</v>
      </c>
      <c r="BI103" s="163" t="str">
        <f t="shared" si="91"/>
        <v>.</v>
      </c>
      <c r="BJ103" s="163" t="str">
        <f t="shared" si="92"/>
        <v>.</v>
      </c>
      <c r="BK103" s="163" t="str">
        <f t="shared" si="73"/>
        <v>.</v>
      </c>
      <c r="BL103" s="163" t="str">
        <f t="shared" si="74"/>
        <v>.</v>
      </c>
      <c r="BM103" s="163">
        <f t="shared" si="75"/>
        <v>0</v>
      </c>
      <c r="BN103" s="163" t="s">
        <v>157</v>
      </c>
      <c r="BO103" s="162" t="str">
        <f t="shared" si="95"/>
        <v/>
      </c>
      <c r="BP103" s="162" t="s">
        <v>272</v>
      </c>
      <c r="BQ103" s="162" t="s">
        <v>1425</v>
      </c>
    </row>
    <row r="104" spans="1:70" s="173" customFormat="1">
      <c r="A104" s="159">
        <f t="shared" si="61"/>
        <v>34</v>
      </c>
      <c r="B104" s="159">
        <f t="shared" si="62"/>
        <v>2</v>
      </c>
      <c r="C104" s="160" t="str">
        <f t="shared" si="49"/>
        <v>3402</v>
      </c>
      <c r="D104" s="171" t="s">
        <v>453</v>
      </c>
      <c r="E104" s="172">
        <v>2012</v>
      </c>
      <c r="F104" s="173" t="s">
        <v>454</v>
      </c>
      <c r="G104" s="173" t="s">
        <v>455</v>
      </c>
      <c r="H104" s="174" t="str">
        <f t="shared" si="93"/>
        <v>UM</v>
      </c>
      <c r="I104" s="174" t="s">
        <v>157</v>
      </c>
      <c r="J104" s="173" t="s">
        <v>460</v>
      </c>
      <c r="K104" s="174" t="s">
        <v>186</v>
      </c>
      <c r="L104" s="174" t="s">
        <v>183</v>
      </c>
      <c r="M104" s="163" t="str">
        <f t="shared" si="64"/>
        <v>PCV13 vs PCV10</v>
      </c>
      <c r="N104" s="171" t="s">
        <v>198</v>
      </c>
      <c r="O104" s="171">
        <v>4</v>
      </c>
      <c r="P104" s="173" t="s">
        <v>148</v>
      </c>
      <c r="Q104" s="175" t="s">
        <v>167</v>
      </c>
      <c r="R104" s="173" t="s">
        <v>154</v>
      </c>
      <c r="S104" s="173" t="s">
        <v>155</v>
      </c>
      <c r="T104" s="172">
        <v>2011</v>
      </c>
      <c r="U104" s="176">
        <v>55</v>
      </c>
      <c r="V104" s="176">
        <f>IF(ISNUMBER(U104),U104/VLOOKUP($S104,xRates!$A$1:$AA$267,data!$T104-xRates!$B$1+2,FALSE),U104)</f>
        <v>55</v>
      </c>
      <c r="W104" s="173" t="s">
        <v>457</v>
      </c>
      <c r="X104" s="171">
        <v>55</v>
      </c>
      <c r="Y104" s="176">
        <v>55</v>
      </c>
      <c r="Z104" s="173" t="s">
        <v>457</v>
      </c>
      <c r="AA104" s="174" t="s">
        <v>157</v>
      </c>
      <c r="AC104" s="173" t="str">
        <f t="shared" si="80"/>
        <v/>
      </c>
      <c r="AD104" s="174" t="s">
        <v>157</v>
      </c>
      <c r="AE104" s="173" t="str">
        <f t="shared" si="81"/>
        <v/>
      </c>
      <c r="AF104" s="174" t="s">
        <v>148</v>
      </c>
      <c r="AG104" s="174" t="s">
        <v>148</v>
      </c>
      <c r="AH104" s="174" t="s">
        <v>148</v>
      </c>
      <c r="AI104" s="174"/>
      <c r="AJ104" s="173" t="s">
        <v>458</v>
      </c>
      <c r="AK104" s="173" t="s">
        <v>461</v>
      </c>
      <c r="AL104" s="163" t="s">
        <v>159</v>
      </c>
      <c r="AM104" s="177">
        <v>999999</v>
      </c>
      <c r="AN104" s="177">
        <v>999999</v>
      </c>
      <c r="AO104" s="177">
        <f t="shared" si="94"/>
        <v>11420.55546</v>
      </c>
      <c r="AP104" s="174" t="str">
        <f t="shared" si="77"/>
        <v>Not Cost-Effective</v>
      </c>
      <c r="AQ104" s="174" t="str">
        <f t="shared" si="66"/>
        <v>Not Cost-Effective</v>
      </c>
      <c r="AR104" s="167">
        <f t="shared" si="50"/>
        <v>87.56132777450739</v>
      </c>
      <c r="AS104" s="167">
        <f t="shared" si="83"/>
        <v>1.43</v>
      </c>
      <c r="AT104" s="159" t="str">
        <f t="shared" si="67"/>
        <v>Not Cost-Effective</v>
      </c>
      <c r="AU104" s="167">
        <f t="shared" si="84"/>
        <v>0.82</v>
      </c>
      <c r="AV104" s="162" t="str">
        <f t="shared" si="68"/>
        <v>Not Cost-Effective</v>
      </c>
      <c r="AW104" s="167">
        <f t="shared" si="85"/>
        <v>0.54388575340378054</v>
      </c>
      <c r="AX104" s="159" t="str">
        <f t="shared" si="69"/>
        <v>Not Cost-Effective</v>
      </c>
      <c r="AY104" s="167">
        <f t="shared" si="86"/>
        <v>0.2338526413848058</v>
      </c>
      <c r="AZ104" s="159" t="str">
        <f t="shared" si="70"/>
        <v>Not Cost-Effective</v>
      </c>
      <c r="BA104" s="167">
        <f t="shared" si="87"/>
        <v>0.76018072360236422</v>
      </c>
      <c r="BB104" s="159" t="str">
        <f t="shared" si="71"/>
        <v>Not Cost-Effective</v>
      </c>
      <c r="BC104" s="167">
        <f t="shared" si="88"/>
        <v>0.31507923271318067</v>
      </c>
      <c r="BD104" s="159" t="str">
        <f t="shared" si="72"/>
        <v>Not Cost-Effective</v>
      </c>
      <c r="BE104" s="173" t="s">
        <v>178</v>
      </c>
      <c r="BF104" s="173" t="s">
        <v>161</v>
      </c>
      <c r="BG104" s="178" t="str">
        <f t="shared" si="89"/>
        <v>.</v>
      </c>
      <c r="BH104" s="178" t="str">
        <f t="shared" si="90"/>
        <v>.</v>
      </c>
      <c r="BI104" s="174" t="str">
        <f t="shared" si="91"/>
        <v>.</v>
      </c>
      <c r="BJ104" s="174" t="str">
        <f t="shared" si="92"/>
        <v>.</v>
      </c>
      <c r="BK104" s="163" t="str">
        <f t="shared" si="73"/>
        <v>.</v>
      </c>
      <c r="BL104" s="163" t="str">
        <f t="shared" si="74"/>
        <v>.</v>
      </c>
      <c r="BM104" s="163">
        <f t="shared" si="75"/>
        <v>0</v>
      </c>
      <c r="BN104" s="174" t="s">
        <v>157</v>
      </c>
      <c r="BO104" s="173" t="str">
        <f t="shared" si="95"/>
        <v/>
      </c>
      <c r="BP104" s="173" t="s">
        <v>272</v>
      </c>
      <c r="BQ104" s="162" t="s">
        <v>1425</v>
      </c>
    </row>
    <row r="105" spans="1:70">
      <c r="A105" s="159">
        <f t="shared" si="61"/>
        <v>34</v>
      </c>
      <c r="B105" s="159">
        <f t="shared" si="62"/>
        <v>3</v>
      </c>
      <c r="C105" s="160" t="str">
        <f t="shared" si="49"/>
        <v>3403</v>
      </c>
      <c r="D105" s="159" t="s">
        <v>453</v>
      </c>
      <c r="E105" s="161">
        <v>2012</v>
      </c>
      <c r="F105" s="162" t="s">
        <v>454</v>
      </c>
      <c r="G105" s="162" t="s">
        <v>455</v>
      </c>
      <c r="H105" s="163" t="str">
        <f t="shared" si="93"/>
        <v>UM</v>
      </c>
      <c r="I105" s="163" t="s">
        <v>157</v>
      </c>
      <c r="J105" s="180" t="s">
        <v>462</v>
      </c>
      <c r="K105" s="163" t="s">
        <v>183</v>
      </c>
      <c r="L105" s="163" t="s">
        <v>150</v>
      </c>
      <c r="M105" s="163" t="str">
        <f t="shared" si="64"/>
        <v>PCV10 vs PCV7</v>
      </c>
      <c r="N105" s="159" t="s">
        <v>198</v>
      </c>
      <c r="O105" s="159">
        <v>4</v>
      </c>
      <c r="P105" s="162" t="s">
        <v>148</v>
      </c>
      <c r="Q105" s="162" t="s">
        <v>167</v>
      </c>
      <c r="R105" s="162" t="s">
        <v>154</v>
      </c>
      <c r="S105" s="162" t="s">
        <v>155</v>
      </c>
      <c r="T105" s="159">
        <v>2000</v>
      </c>
      <c r="U105" s="165">
        <v>55</v>
      </c>
      <c r="V105" s="165">
        <f>IF(ISNUMBER(U105),U105/VLOOKUP($S105,xRates!$A$1:$AA$267,data!$T105-xRates!$B$1+2,FALSE),U105)</f>
        <v>55</v>
      </c>
      <c r="W105" s="162" t="s">
        <v>457</v>
      </c>
      <c r="X105" s="159">
        <v>55</v>
      </c>
      <c r="Y105" s="165">
        <v>55</v>
      </c>
      <c r="Z105" s="162" t="s">
        <v>457</v>
      </c>
      <c r="AA105" s="163" t="s">
        <v>157</v>
      </c>
      <c r="AB105" s="162"/>
      <c r="AC105" s="162" t="str">
        <f t="shared" si="80"/>
        <v/>
      </c>
      <c r="AD105" s="163" t="s">
        <v>157</v>
      </c>
      <c r="AE105" s="162" t="str">
        <f t="shared" si="81"/>
        <v/>
      </c>
      <c r="AF105" s="163" t="s">
        <v>148</v>
      </c>
      <c r="AG105" s="163" t="s">
        <v>148</v>
      </c>
      <c r="AH105" s="163" t="s">
        <v>148</v>
      </c>
      <c r="AJ105" s="162" t="s">
        <v>458</v>
      </c>
      <c r="AK105" s="162" t="s">
        <v>463</v>
      </c>
      <c r="AL105" s="163" t="s">
        <v>159</v>
      </c>
      <c r="AM105" s="179">
        <f>-11718813/3156</f>
        <v>-3713.1853612167301</v>
      </c>
      <c r="AN105" s="179">
        <v>-3156</v>
      </c>
      <c r="AO105" s="179">
        <f t="shared" si="94"/>
        <v>4337.4780030000002</v>
      </c>
      <c r="AP105" s="163" t="str">
        <f t="shared" si="77"/>
        <v>Cost-Saving</v>
      </c>
      <c r="AQ105" s="163" t="str">
        <f t="shared" si="66"/>
        <v>Cost-Saving</v>
      </c>
      <c r="AR105" s="167">
        <f t="shared" si="50"/>
        <v>-0.72761175914140996</v>
      </c>
      <c r="AS105" s="167">
        <f t="shared" si="83"/>
        <v>1.43</v>
      </c>
      <c r="AT105" s="159" t="str">
        <f t="shared" si="67"/>
        <v>Cost-Saving</v>
      </c>
      <c r="AU105" s="167">
        <f t="shared" si="84"/>
        <v>0.82</v>
      </c>
      <c r="AV105" s="162" t="str">
        <f t="shared" si="68"/>
        <v>Cost-Saving</v>
      </c>
      <c r="AW105" s="167">
        <f t="shared" si="85"/>
        <v>0.54388575340378054</v>
      </c>
      <c r="AX105" s="159" t="str">
        <f t="shared" si="69"/>
        <v>Cost-Saving</v>
      </c>
      <c r="AY105" s="167">
        <f t="shared" si="86"/>
        <v>0.2338526413848058</v>
      </c>
      <c r="AZ105" s="159" t="str">
        <f t="shared" si="70"/>
        <v>Cost-Saving</v>
      </c>
      <c r="BA105" s="167">
        <f t="shared" si="87"/>
        <v>0.76018072360236422</v>
      </c>
      <c r="BB105" s="159" t="str">
        <f t="shared" si="71"/>
        <v>Cost-Saving</v>
      </c>
      <c r="BC105" s="167">
        <f t="shared" si="88"/>
        <v>0.31507923271318067</v>
      </c>
      <c r="BD105" s="159" t="str">
        <f t="shared" si="72"/>
        <v>Cost-Saving</v>
      </c>
      <c r="BE105" s="162" t="s">
        <v>178</v>
      </c>
      <c r="BF105" s="162" t="s">
        <v>239</v>
      </c>
      <c r="BG105" s="168" t="str">
        <f t="shared" si="89"/>
        <v>.</v>
      </c>
      <c r="BH105" s="168" t="str">
        <f t="shared" si="90"/>
        <v>.</v>
      </c>
      <c r="BI105" s="163" t="str">
        <f t="shared" si="91"/>
        <v>.</v>
      </c>
      <c r="BJ105" s="163" t="str">
        <f t="shared" si="92"/>
        <v>.</v>
      </c>
      <c r="BK105" s="163" t="str">
        <f t="shared" si="73"/>
        <v>.</v>
      </c>
      <c r="BL105" s="163" t="str">
        <f t="shared" si="74"/>
        <v>.</v>
      </c>
      <c r="BM105" s="163">
        <f t="shared" si="75"/>
        <v>0</v>
      </c>
      <c r="BN105" s="163" t="s">
        <v>157</v>
      </c>
      <c r="BO105" s="162" t="str">
        <f t="shared" si="95"/>
        <v/>
      </c>
      <c r="BP105" s="162" t="s">
        <v>272</v>
      </c>
      <c r="BQ105" s="162" t="s">
        <v>1425</v>
      </c>
    </row>
    <row r="106" spans="1:70">
      <c r="A106" s="159">
        <f t="shared" si="61"/>
        <v>35</v>
      </c>
      <c r="B106" s="159">
        <f t="shared" si="62"/>
        <v>1</v>
      </c>
      <c r="C106" s="160" t="str">
        <f t="shared" si="49"/>
        <v>3501</v>
      </c>
      <c r="D106" s="159" t="s">
        <v>464</v>
      </c>
      <c r="E106" s="161">
        <v>2012</v>
      </c>
      <c r="F106" s="162" t="s">
        <v>465</v>
      </c>
      <c r="G106" s="162" t="s">
        <v>421</v>
      </c>
      <c r="H106" s="163" t="str">
        <f t="shared" si="93"/>
        <v>UM</v>
      </c>
      <c r="I106" s="163" t="s">
        <v>157</v>
      </c>
      <c r="J106" s="180" t="s">
        <v>149</v>
      </c>
      <c r="K106" s="163" t="s">
        <v>150</v>
      </c>
      <c r="L106" s="163" t="s">
        <v>151</v>
      </c>
      <c r="M106" s="163" t="str">
        <f t="shared" si="64"/>
        <v>PCV7 vs NoVax</v>
      </c>
      <c r="N106" s="159" t="s">
        <v>152</v>
      </c>
      <c r="O106" s="159">
        <v>3</v>
      </c>
      <c r="P106" s="162" t="s">
        <v>148</v>
      </c>
      <c r="Q106" s="162" t="s">
        <v>153</v>
      </c>
      <c r="R106" s="162" t="s">
        <v>154</v>
      </c>
      <c r="S106" s="162" t="s">
        <v>155</v>
      </c>
      <c r="T106" s="159">
        <v>2009</v>
      </c>
      <c r="U106" s="165">
        <v>14</v>
      </c>
      <c r="V106" s="165">
        <f>IF(ISNUMBER(U106),U106/VLOOKUP($S106,xRates!$A$1:$AA$267,data!$T106-xRates!$B$1+2,FALSE),U106)</f>
        <v>14</v>
      </c>
      <c r="W106" s="162" t="s">
        <v>466</v>
      </c>
      <c r="Y106" s="165"/>
      <c r="AA106" s="163" t="s">
        <v>157</v>
      </c>
      <c r="AB106" s="162"/>
      <c r="AC106" s="162" t="str">
        <f t="shared" si="80"/>
        <v/>
      </c>
      <c r="AD106" s="163" t="s">
        <v>157</v>
      </c>
      <c r="AE106" s="162" t="str">
        <f t="shared" si="81"/>
        <v/>
      </c>
      <c r="AF106" s="163" t="s">
        <v>148</v>
      </c>
      <c r="AG106" s="163" t="s">
        <v>148</v>
      </c>
      <c r="AH106" s="163" t="s">
        <v>148</v>
      </c>
      <c r="AJ106" s="162" t="s">
        <v>467</v>
      </c>
      <c r="AK106" s="162" t="s">
        <v>468</v>
      </c>
      <c r="AL106" s="163" t="s">
        <v>469</v>
      </c>
      <c r="AM106" s="179">
        <v>999999</v>
      </c>
      <c r="AN106" s="179">
        <f>AM106</f>
        <v>999999</v>
      </c>
      <c r="AO106" s="179">
        <f t="shared" si="94"/>
        <v>5193.2414580000004</v>
      </c>
      <c r="AP106" s="163" t="str">
        <f t="shared" si="77"/>
        <v>Not Cost-Effective</v>
      </c>
      <c r="AQ106" s="163" t="str">
        <f t="shared" si="66"/>
        <v>Not Cost-Effective</v>
      </c>
      <c r="AR106" s="167">
        <f t="shared" si="50"/>
        <v>192.55777111220925</v>
      </c>
      <c r="AS106" s="167">
        <f t="shared" si="83"/>
        <v>1.89</v>
      </c>
      <c r="AT106" s="159" t="str">
        <f t="shared" si="67"/>
        <v>Not Cost-Effective</v>
      </c>
      <c r="AU106" s="167">
        <f t="shared" si="84"/>
        <v>1.17</v>
      </c>
      <c r="AV106" s="162" t="str">
        <f t="shared" si="68"/>
        <v>Not Cost-Effective</v>
      </c>
      <c r="AW106" s="167">
        <f t="shared" si="85"/>
        <v>0.67142448878179284</v>
      </c>
      <c r="AX106" s="159" t="str">
        <f t="shared" si="69"/>
        <v>Not Cost-Effective</v>
      </c>
      <c r="AY106" s="167">
        <f t="shared" si="86"/>
        <v>0.16670017209696561</v>
      </c>
      <c r="AZ106" s="159" t="str">
        <f t="shared" si="70"/>
        <v>Not Cost-Effective</v>
      </c>
      <c r="BA106" s="167">
        <f t="shared" si="87"/>
        <v>1.3237396338136047</v>
      </c>
      <c r="BB106" s="159" t="str">
        <f t="shared" si="71"/>
        <v>Not Cost-Effective</v>
      </c>
      <c r="BC106" s="167">
        <f t="shared" si="88"/>
        <v>0.54863988350299309</v>
      </c>
      <c r="BD106" s="159" t="str">
        <f t="shared" si="72"/>
        <v>Not Cost-Effective</v>
      </c>
      <c r="BE106" s="162" t="s">
        <v>210</v>
      </c>
      <c r="BF106" s="162" t="s">
        <v>161</v>
      </c>
      <c r="BG106" s="168" t="str">
        <f t="shared" si="89"/>
        <v>.</v>
      </c>
      <c r="BH106" s="168" t="str">
        <f t="shared" si="90"/>
        <v>.</v>
      </c>
      <c r="BI106" s="163" t="str">
        <f t="shared" si="91"/>
        <v>.</v>
      </c>
      <c r="BJ106" s="163" t="str">
        <f t="shared" si="92"/>
        <v>.</v>
      </c>
      <c r="BK106" s="163" t="str">
        <f t="shared" si="73"/>
        <v>.</v>
      </c>
      <c r="BL106" s="163" t="str">
        <f t="shared" si="74"/>
        <v>.</v>
      </c>
      <c r="BM106" s="163">
        <f t="shared" si="75"/>
        <v>0</v>
      </c>
      <c r="BN106" s="163" t="s">
        <v>157</v>
      </c>
      <c r="BO106" s="162" t="str">
        <f t="shared" si="95"/>
        <v/>
      </c>
      <c r="BP106" s="162" t="s">
        <v>1414</v>
      </c>
      <c r="BQ106" s="162" t="s">
        <v>1427</v>
      </c>
    </row>
    <row r="107" spans="1:70">
      <c r="A107" s="159">
        <f t="shared" si="61"/>
        <v>35</v>
      </c>
      <c r="B107" s="159">
        <f t="shared" si="62"/>
        <v>2</v>
      </c>
      <c r="C107" s="160" t="str">
        <f t="shared" si="49"/>
        <v>3502</v>
      </c>
      <c r="D107" s="159" t="s">
        <v>464</v>
      </c>
      <c r="E107" s="161">
        <v>2012</v>
      </c>
      <c r="F107" s="162" t="s">
        <v>465</v>
      </c>
      <c r="G107" s="162" t="s">
        <v>421</v>
      </c>
      <c r="H107" s="163" t="str">
        <f t="shared" si="93"/>
        <v>UM</v>
      </c>
      <c r="I107" s="163" t="s">
        <v>157</v>
      </c>
      <c r="J107" s="180" t="s">
        <v>352</v>
      </c>
      <c r="K107" s="163" t="s">
        <v>183</v>
      </c>
      <c r="L107" s="163" t="s">
        <v>151</v>
      </c>
      <c r="M107" s="163" t="str">
        <f t="shared" si="64"/>
        <v>PCV10 vs NoVax</v>
      </c>
      <c r="N107" s="159" t="s">
        <v>152</v>
      </c>
      <c r="O107" s="159">
        <v>3</v>
      </c>
      <c r="P107" s="162" t="s">
        <v>148</v>
      </c>
      <c r="Q107" s="162" t="s">
        <v>153</v>
      </c>
      <c r="R107" s="162" t="s">
        <v>154</v>
      </c>
      <c r="S107" s="162" t="s">
        <v>155</v>
      </c>
      <c r="T107" s="159">
        <v>2009</v>
      </c>
      <c r="U107" s="165">
        <v>14.85</v>
      </c>
      <c r="V107" s="165">
        <f>IF(ISNUMBER(U107),U107/VLOOKUP($S107,xRates!$A$1:$AA$267,data!$T107-xRates!$B$1+2,FALSE),U107)</f>
        <v>14.85</v>
      </c>
      <c r="W107" s="162" t="s">
        <v>470</v>
      </c>
      <c r="Y107" s="165"/>
      <c r="AA107" s="163" t="s">
        <v>157</v>
      </c>
      <c r="AB107" s="162"/>
      <c r="AC107" s="162" t="str">
        <f t="shared" si="80"/>
        <v/>
      </c>
      <c r="AD107" s="163" t="s">
        <v>157</v>
      </c>
      <c r="AE107" s="162" t="str">
        <f t="shared" si="81"/>
        <v/>
      </c>
      <c r="AF107" s="163" t="s">
        <v>148</v>
      </c>
      <c r="AG107" s="163" t="s">
        <v>148</v>
      </c>
      <c r="AH107" s="163" t="s">
        <v>148</v>
      </c>
      <c r="AJ107" s="162" t="s">
        <v>467</v>
      </c>
      <c r="AK107" s="162" t="s">
        <v>471</v>
      </c>
      <c r="AL107" s="163" t="s">
        <v>469</v>
      </c>
      <c r="AM107" s="179">
        <f>19441588/10581</f>
        <v>1837.4055382289009</v>
      </c>
      <c r="AN107" s="179">
        <f>AM107</f>
        <v>1837.4055382289009</v>
      </c>
      <c r="AO107" s="179">
        <f t="shared" si="94"/>
        <v>5193.2414580000004</v>
      </c>
      <c r="AP107" s="163" t="str">
        <f t="shared" si="77"/>
        <v>Cost-Effective</v>
      </c>
      <c r="AQ107" s="163" t="str">
        <f t="shared" si="66"/>
        <v>Cost-Effective</v>
      </c>
      <c r="AR107" s="167">
        <f t="shared" si="50"/>
        <v>0.35380706887765523</v>
      </c>
      <c r="AS107" s="167">
        <f t="shared" si="83"/>
        <v>1.89</v>
      </c>
      <c r="AT107" s="159" t="str">
        <f t="shared" si="67"/>
        <v>Cost-Effective</v>
      </c>
      <c r="AU107" s="167">
        <f t="shared" si="84"/>
        <v>1.17</v>
      </c>
      <c r="AV107" s="162" t="str">
        <f t="shared" si="68"/>
        <v>Cost-Effective</v>
      </c>
      <c r="AW107" s="167">
        <f t="shared" si="85"/>
        <v>0.67142448878179284</v>
      </c>
      <c r="AX107" s="159" t="str">
        <f t="shared" si="69"/>
        <v>Cost-Effective</v>
      </c>
      <c r="AY107" s="167">
        <f t="shared" si="86"/>
        <v>0.16670017209696561</v>
      </c>
      <c r="AZ107" s="159" t="str">
        <f t="shared" si="70"/>
        <v>Not Cost-Effective</v>
      </c>
      <c r="BA107" s="167">
        <f t="shared" si="87"/>
        <v>1.3237396338136047</v>
      </c>
      <c r="BB107" s="159" t="str">
        <f t="shared" si="71"/>
        <v>Cost-Effective</v>
      </c>
      <c r="BC107" s="167">
        <f t="shared" si="88"/>
        <v>0.54863988350299309</v>
      </c>
      <c r="BD107" s="159" t="str">
        <f t="shared" si="72"/>
        <v>Cost-Effective</v>
      </c>
      <c r="BE107" s="162" t="s">
        <v>210</v>
      </c>
      <c r="BF107" s="162" t="s">
        <v>174</v>
      </c>
      <c r="BG107" s="168">
        <f t="shared" si="89"/>
        <v>0</v>
      </c>
      <c r="BH107" s="168">
        <f t="shared" si="90"/>
        <v>0</v>
      </c>
      <c r="BI107" s="163">
        <f t="shared" si="91"/>
        <v>1</v>
      </c>
      <c r="BJ107" s="163">
        <f t="shared" si="92"/>
        <v>0</v>
      </c>
      <c r="BK107" s="163">
        <f t="shared" si="73"/>
        <v>0</v>
      </c>
      <c r="BL107" s="163">
        <f t="shared" si="74"/>
        <v>0</v>
      </c>
      <c r="BM107" s="163">
        <f t="shared" si="75"/>
        <v>1</v>
      </c>
      <c r="BN107" s="163" t="s">
        <v>157</v>
      </c>
      <c r="BO107" s="162" t="str">
        <f t="shared" si="95"/>
        <v/>
      </c>
      <c r="BP107" s="162" t="s">
        <v>1414</v>
      </c>
      <c r="BQ107" s="162" t="s">
        <v>1427</v>
      </c>
    </row>
    <row r="108" spans="1:70">
      <c r="A108" s="159">
        <f t="shared" si="61"/>
        <v>35</v>
      </c>
      <c r="B108" s="159">
        <f t="shared" si="62"/>
        <v>3</v>
      </c>
      <c r="C108" s="160" t="str">
        <f t="shared" si="49"/>
        <v>3503</v>
      </c>
      <c r="D108" s="159" t="s">
        <v>464</v>
      </c>
      <c r="E108" s="161">
        <v>2012</v>
      </c>
      <c r="F108" s="162" t="s">
        <v>465</v>
      </c>
      <c r="G108" s="162" t="s">
        <v>421</v>
      </c>
      <c r="H108" s="163" t="str">
        <f t="shared" si="93"/>
        <v>UM</v>
      </c>
      <c r="I108" s="163" t="s">
        <v>157</v>
      </c>
      <c r="J108" s="180" t="s">
        <v>371</v>
      </c>
      <c r="K108" s="163" t="s">
        <v>186</v>
      </c>
      <c r="L108" s="163" t="s">
        <v>183</v>
      </c>
      <c r="M108" s="163" t="str">
        <f t="shared" si="64"/>
        <v>PCV13 vs PCV10</v>
      </c>
      <c r="N108" s="159" t="s">
        <v>152</v>
      </c>
      <c r="O108" s="159">
        <v>3</v>
      </c>
      <c r="P108" s="162" t="s">
        <v>148</v>
      </c>
      <c r="Q108" s="162" t="s">
        <v>153</v>
      </c>
      <c r="R108" s="162" t="s">
        <v>154</v>
      </c>
      <c r="S108" s="162" t="s">
        <v>155</v>
      </c>
      <c r="T108" s="159">
        <v>2009</v>
      </c>
      <c r="U108" s="165">
        <v>16.3</v>
      </c>
      <c r="V108" s="165">
        <f>IF(ISNUMBER(U108),U108/VLOOKUP($S108,xRates!$A$1:$AA$267,data!$T108-xRates!$B$1+2,FALSE),U108)</f>
        <v>16.3</v>
      </c>
      <c r="W108" s="162" t="s">
        <v>470</v>
      </c>
      <c r="X108" s="159">
        <v>14.85</v>
      </c>
      <c r="Y108" s="165">
        <v>14.85</v>
      </c>
      <c r="Z108" s="162" t="s">
        <v>470</v>
      </c>
      <c r="AA108" s="163" t="s">
        <v>157</v>
      </c>
      <c r="AB108" s="162"/>
      <c r="AC108" s="162" t="str">
        <f t="shared" si="80"/>
        <v/>
      </c>
      <c r="AD108" s="163" t="s">
        <v>157</v>
      </c>
      <c r="AE108" s="162" t="str">
        <f t="shared" si="81"/>
        <v/>
      </c>
      <c r="AF108" s="163" t="s">
        <v>148</v>
      </c>
      <c r="AG108" s="163" t="s">
        <v>148</v>
      </c>
      <c r="AH108" s="163" t="s">
        <v>148</v>
      </c>
      <c r="AJ108" s="162" t="s">
        <v>467</v>
      </c>
      <c r="AK108" s="162" t="s">
        <v>472</v>
      </c>
      <c r="AL108" s="163" t="s">
        <v>469</v>
      </c>
      <c r="AM108" s="179">
        <v>9516</v>
      </c>
      <c r="AN108" s="179">
        <v>9516</v>
      </c>
      <c r="AO108" s="179">
        <f t="shared" si="94"/>
        <v>5193.2414580000004</v>
      </c>
      <c r="AP108" s="163" t="str">
        <f t="shared" si="77"/>
        <v>Not Cost-Effective</v>
      </c>
      <c r="AQ108" s="163" t="str">
        <f t="shared" si="66"/>
        <v>Cost-Effective</v>
      </c>
      <c r="AR108" s="167">
        <f t="shared" si="50"/>
        <v>1.8323815822853657</v>
      </c>
      <c r="AS108" s="167">
        <f t="shared" si="83"/>
        <v>1.89</v>
      </c>
      <c r="AT108" s="159" t="str">
        <f t="shared" si="67"/>
        <v>Cost-Effective</v>
      </c>
      <c r="AU108" s="167">
        <f t="shared" si="84"/>
        <v>1.17</v>
      </c>
      <c r="AV108" s="162" t="str">
        <f t="shared" si="68"/>
        <v>Not Cost-Effective</v>
      </c>
      <c r="AW108" s="167">
        <f t="shared" si="85"/>
        <v>0.67142448878179284</v>
      </c>
      <c r="AX108" s="159" t="str">
        <f t="shared" si="69"/>
        <v>Not Cost-Effective</v>
      </c>
      <c r="AY108" s="167">
        <f t="shared" si="86"/>
        <v>0.16670017209696561</v>
      </c>
      <c r="AZ108" s="159" t="str">
        <f t="shared" si="70"/>
        <v>Not Cost-Effective</v>
      </c>
      <c r="BA108" s="167">
        <f t="shared" si="87"/>
        <v>1.3237396338136047</v>
      </c>
      <c r="BB108" s="159" t="str">
        <f t="shared" si="71"/>
        <v>Not Cost-Effective</v>
      </c>
      <c r="BC108" s="167">
        <f t="shared" si="88"/>
        <v>0.54863988350299309</v>
      </c>
      <c r="BD108" s="159" t="str">
        <f t="shared" si="72"/>
        <v>Not Cost-Effective</v>
      </c>
      <c r="BE108" s="162" t="s">
        <v>210</v>
      </c>
      <c r="BF108" s="162" t="s">
        <v>174</v>
      </c>
      <c r="BG108" s="168">
        <f t="shared" si="89"/>
        <v>1</v>
      </c>
      <c r="BH108" s="168">
        <f t="shared" si="90"/>
        <v>0</v>
      </c>
      <c r="BI108" s="163">
        <f t="shared" si="91"/>
        <v>1</v>
      </c>
      <c r="BJ108" s="163">
        <f t="shared" si="92"/>
        <v>1</v>
      </c>
      <c r="BK108" s="163">
        <f t="shared" si="73"/>
        <v>1</v>
      </c>
      <c r="BL108" s="163">
        <f t="shared" si="74"/>
        <v>1</v>
      </c>
      <c r="BM108" s="163">
        <f t="shared" si="75"/>
        <v>5</v>
      </c>
      <c r="BN108" s="163" t="s">
        <v>157</v>
      </c>
      <c r="BO108" s="162" t="str">
        <f t="shared" si="95"/>
        <v/>
      </c>
      <c r="BP108" s="162" t="s">
        <v>1414</v>
      </c>
      <c r="BQ108" s="162" t="s">
        <v>1427</v>
      </c>
    </row>
    <row r="109" spans="1:70">
      <c r="A109" s="159">
        <f t="shared" si="61"/>
        <v>36</v>
      </c>
      <c r="B109" s="159">
        <f t="shared" si="62"/>
        <v>1</v>
      </c>
      <c r="C109" s="160" t="str">
        <f t="shared" si="49"/>
        <v>3601</v>
      </c>
      <c r="D109" s="159" t="s">
        <v>27</v>
      </c>
      <c r="E109" s="161">
        <v>2013</v>
      </c>
      <c r="F109" s="162" t="s">
        <v>473</v>
      </c>
      <c r="G109" s="162" t="s">
        <v>404</v>
      </c>
      <c r="H109" s="163" t="str">
        <f t="shared" si="93"/>
        <v>UM</v>
      </c>
      <c r="I109" s="163" t="s">
        <v>157</v>
      </c>
      <c r="J109" s="180" t="s">
        <v>149</v>
      </c>
      <c r="K109" s="163" t="s">
        <v>150</v>
      </c>
      <c r="L109" s="163" t="s">
        <v>151</v>
      </c>
      <c r="M109" s="163" t="str">
        <f t="shared" si="64"/>
        <v>PCV7 vs NoVax</v>
      </c>
      <c r="N109" s="159" t="s">
        <v>331</v>
      </c>
      <c r="O109" s="159">
        <v>3</v>
      </c>
      <c r="P109" s="162" t="s">
        <v>148</v>
      </c>
      <c r="Q109" s="162" t="s">
        <v>167</v>
      </c>
      <c r="R109" s="162" t="s">
        <v>154</v>
      </c>
      <c r="S109" s="162" t="s">
        <v>155</v>
      </c>
      <c r="T109" s="159">
        <v>2009</v>
      </c>
      <c r="U109" s="165">
        <v>20</v>
      </c>
      <c r="V109" s="165">
        <f>IF(ISNUMBER(U109),U109/VLOOKUP($S109,xRates!$A$1:$AA$267,data!$T109-xRates!$B$1+2,FALSE),U109)</f>
        <v>20</v>
      </c>
      <c r="W109" s="162" t="s">
        <v>332</v>
      </c>
      <c r="Y109" s="165"/>
      <c r="AA109" s="163" t="s">
        <v>157</v>
      </c>
      <c r="AB109" s="162"/>
      <c r="AC109" s="162" t="str">
        <f t="shared" si="80"/>
        <v/>
      </c>
      <c r="AD109" s="163" t="s">
        <v>157</v>
      </c>
      <c r="AE109" s="162" t="str">
        <f t="shared" si="81"/>
        <v/>
      </c>
      <c r="AF109" s="163" t="s">
        <v>148</v>
      </c>
      <c r="AG109" s="163" t="s">
        <v>148</v>
      </c>
      <c r="AH109" s="163" t="s">
        <v>148</v>
      </c>
      <c r="AJ109" s="162"/>
      <c r="AK109" s="162" t="s">
        <v>474</v>
      </c>
      <c r="AL109" s="163" t="s">
        <v>159</v>
      </c>
      <c r="AM109" s="179">
        <v>6014</v>
      </c>
      <c r="AN109" s="179">
        <v>6014</v>
      </c>
      <c r="AO109" s="179">
        <f t="shared" si="94"/>
        <v>4196.311627</v>
      </c>
      <c r="AP109" s="163" t="str">
        <f t="shared" si="77"/>
        <v>Not Cost-Effective</v>
      </c>
      <c r="AQ109" s="163" t="str">
        <f t="shared" si="66"/>
        <v>Cost-Effective</v>
      </c>
      <c r="AR109" s="167">
        <f t="shared" si="50"/>
        <v>1.4331633430902961</v>
      </c>
      <c r="AS109" s="167">
        <f t="shared" si="83"/>
        <v>1.08</v>
      </c>
      <c r="AT109" s="159" t="str">
        <f t="shared" si="67"/>
        <v>Not Cost-Effective</v>
      </c>
      <c r="AU109" s="167">
        <f t="shared" si="84"/>
        <v>0.64</v>
      </c>
      <c r="AV109" s="162" t="str">
        <f t="shared" si="68"/>
        <v>Not Cost-Effective</v>
      </c>
      <c r="AW109" s="167">
        <f t="shared" si="85"/>
        <v>0.64868436103329219</v>
      </c>
      <c r="AX109" s="159" t="str">
        <f t="shared" si="69"/>
        <v>Not Cost-Effective</v>
      </c>
      <c r="AY109" s="167">
        <f t="shared" si="86"/>
        <v>0.16487209176159878</v>
      </c>
      <c r="AZ109" s="159" t="str">
        <f t="shared" si="70"/>
        <v>Not Cost-Effective</v>
      </c>
      <c r="BA109" s="167">
        <f t="shared" si="87"/>
        <v>0.88451095719374262</v>
      </c>
      <c r="BB109" s="159" t="str">
        <f t="shared" si="71"/>
        <v>Not Cost-Effective</v>
      </c>
      <c r="BC109" s="167">
        <f t="shared" si="88"/>
        <v>0.366554090368578</v>
      </c>
      <c r="BD109" s="159" t="str">
        <f t="shared" si="72"/>
        <v>Not Cost-Effective</v>
      </c>
      <c r="BE109" s="162" t="s">
        <v>173</v>
      </c>
      <c r="BF109" s="162" t="s">
        <v>174</v>
      </c>
      <c r="BG109" s="168">
        <f t="shared" si="89"/>
        <v>1</v>
      </c>
      <c r="BH109" s="168">
        <f t="shared" si="90"/>
        <v>1</v>
      </c>
      <c r="BI109" s="163">
        <f t="shared" si="91"/>
        <v>1</v>
      </c>
      <c r="BJ109" s="163">
        <f t="shared" si="92"/>
        <v>1</v>
      </c>
      <c r="BK109" s="163">
        <f t="shared" si="73"/>
        <v>1</v>
      </c>
      <c r="BL109" s="163">
        <f t="shared" si="74"/>
        <v>1</v>
      </c>
      <c r="BM109" s="163">
        <f t="shared" si="75"/>
        <v>6</v>
      </c>
      <c r="BN109" s="163" t="s">
        <v>157</v>
      </c>
      <c r="BO109" s="162" t="str">
        <f t="shared" si="95"/>
        <v/>
      </c>
      <c r="BP109" s="162" t="s">
        <v>272</v>
      </c>
      <c r="BQ109" s="162" t="s">
        <v>1425</v>
      </c>
    </row>
    <row r="110" spans="1:70">
      <c r="A110" s="159">
        <f t="shared" si="61"/>
        <v>36</v>
      </c>
      <c r="B110" s="159">
        <f t="shared" si="62"/>
        <v>2</v>
      </c>
      <c r="C110" s="160" t="str">
        <f t="shared" si="49"/>
        <v>3602</v>
      </c>
      <c r="D110" s="159" t="s">
        <v>27</v>
      </c>
      <c r="E110" s="161">
        <v>2013</v>
      </c>
      <c r="F110" s="162" t="s">
        <v>473</v>
      </c>
      <c r="G110" s="162" t="s">
        <v>404</v>
      </c>
      <c r="H110" s="163" t="str">
        <f t="shared" si="93"/>
        <v>UM</v>
      </c>
      <c r="I110" s="163" t="s">
        <v>157</v>
      </c>
      <c r="J110" s="180" t="s">
        <v>353</v>
      </c>
      <c r="K110" s="163" t="s">
        <v>186</v>
      </c>
      <c r="L110" s="163" t="s">
        <v>151</v>
      </c>
      <c r="M110" s="163" t="str">
        <f t="shared" si="64"/>
        <v>PCV13 vs NoVax</v>
      </c>
      <c r="N110" s="159" t="s">
        <v>331</v>
      </c>
      <c r="O110" s="159">
        <v>3</v>
      </c>
      <c r="P110" s="162" t="s">
        <v>148</v>
      </c>
      <c r="Q110" s="162" t="s">
        <v>167</v>
      </c>
      <c r="R110" s="162" t="s">
        <v>154</v>
      </c>
      <c r="S110" s="162" t="s">
        <v>155</v>
      </c>
      <c r="T110" s="159">
        <v>2009</v>
      </c>
      <c r="U110" s="165">
        <v>16.34</v>
      </c>
      <c r="V110" s="165">
        <f>IF(ISNUMBER(U110),U110/VLOOKUP($S110,xRates!$A$1:$AA$267,data!$T110-xRates!$B$1+2,FALSE),U110)</f>
        <v>16.34</v>
      </c>
      <c r="W110" s="162" t="s">
        <v>332</v>
      </c>
      <c r="Y110" s="165"/>
      <c r="AA110" s="163" t="s">
        <v>157</v>
      </c>
      <c r="AB110" s="162"/>
      <c r="AC110" s="162" t="str">
        <f t="shared" si="80"/>
        <v/>
      </c>
      <c r="AD110" s="163" t="s">
        <v>157</v>
      </c>
      <c r="AE110" s="162" t="str">
        <f t="shared" si="81"/>
        <v/>
      </c>
      <c r="AF110" s="163" t="s">
        <v>148</v>
      </c>
      <c r="AG110" s="163" t="s">
        <v>148</v>
      </c>
      <c r="AH110" s="163" t="s">
        <v>148</v>
      </c>
      <c r="AJ110" s="162"/>
      <c r="AK110" s="162" t="s">
        <v>475</v>
      </c>
      <c r="AL110" s="163" t="s">
        <v>159</v>
      </c>
      <c r="AM110" s="179">
        <v>5327</v>
      </c>
      <c r="AN110" s="179">
        <v>5327</v>
      </c>
      <c r="AO110" s="179">
        <f t="shared" si="94"/>
        <v>4196.311627</v>
      </c>
      <c r="AP110" s="163" t="str">
        <f t="shared" si="77"/>
        <v>Not Cost-Effective</v>
      </c>
      <c r="AQ110" s="163" t="str">
        <f t="shared" si="66"/>
        <v>Cost-Effective</v>
      </c>
      <c r="AR110" s="167">
        <f t="shared" si="50"/>
        <v>1.2694481424413049</v>
      </c>
      <c r="AS110" s="167">
        <f t="shared" si="83"/>
        <v>1.08</v>
      </c>
      <c r="AT110" s="159" t="str">
        <f t="shared" si="67"/>
        <v>Not Cost-Effective</v>
      </c>
      <c r="AU110" s="167">
        <f t="shared" si="84"/>
        <v>0.64</v>
      </c>
      <c r="AV110" s="162" t="str">
        <f t="shared" si="68"/>
        <v>Not Cost-Effective</v>
      </c>
      <c r="AW110" s="167">
        <f t="shared" si="85"/>
        <v>0.64868436103329219</v>
      </c>
      <c r="AX110" s="159" t="str">
        <f t="shared" si="69"/>
        <v>Not Cost-Effective</v>
      </c>
      <c r="AY110" s="167">
        <f t="shared" si="86"/>
        <v>0.16487209176159878</v>
      </c>
      <c r="AZ110" s="159" t="str">
        <f t="shared" si="70"/>
        <v>Not Cost-Effective</v>
      </c>
      <c r="BA110" s="167">
        <f t="shared" si="87"/>
        <v>0.88451095719374262</v>
      </c>
      <c r="BB110" s="159" t="str">
        <f t="shared" si="71"/>
        <v>Not Cost-Effective</v>
      </c>
      <c r="BC110" s="167">
        <f t="shared" si="88"/>
        <v>0.366554090368578</v>
      </c>
      <c r="BD110" s="159" t="str">
        <f t="shared" si="72"/>
        <v>Not Cost-Effective</v>
      </c>
      <c r="BE110" s="162" t="s">
        <v>173</v>
      </c>
      <c r="BF110" s="162" t="s">
        <v>174</v>
      </c>
      <c r="BG110" s="168">
        <f t="shared" si="89"/>
        <v>1</v>
      </c>
      <c r="BH110" s="168">
        <f t="shared" si="90"/>
        <v>1</v>
      </c>
      <c r="BI110" s="163">
        <f t="shared" si="91"/>
        <v>1</v>
      </c>
      <c r="BJ110" s="163">
        <f t="shared" si="92"/>
        <v>1</v>
      </c>
      <c r="BK110" s="163">
        <f t="shared" si="73"/>
        <v>1</v>
      </c>
      <c r="BL110" s="163">
        <f t="shared" si="74"/>
        <v>1</v>
      </c>
      <c r="BM110" s="163">
        <f t="shared" si="75"/>
        <v>6</v>
      </c>
      <c r="BN110" s="163" t="s">
        <v>157</v>
      </c>
      <c r="BO110" s="162" t="str">
        <f t="shared" si="95"/>
        <v/>
      </c>
      <c r="BP110" s="162" t="s">
        <v>272</v>
      </c>
      <c r="BQ110" s="162" t="s">
        <v>1425</v>
      </c>
    </row>
    <row r="111" spans="1:70">
      <c r="A111" s="159">
        <f t="shared" si="61"/>
        <v>36</v>
      </c>
      <c r="B111" s="159">
        <f t="shared" si="62"/>
        <v>3</v>
      </c>
      <c r="C111" s="160" t="str">
        <f t="shared" si="49"/>
        <v>3603</v>
      </c>
      <c r="D111" s="159" t="s">
        <v>27</v>
      </c>
      <c r="E111" s="161">
        <v>2013</v>
      </c>
      <c r="F111" s="162" t="s">
        <v>473</v>
      </c>
      <c r="G111" s="162" t="s">
        <v>404</v>
      </c>
      <c r="H111" s="163" t="str">
        <f t="shared" si="93"/>
        <v>UM</v>
      </c>
      <c r="I111" s="163" t="s">
        <v>157</v>
      </c>
      <c r="J111" s="180" t="s">
        <v>352</v>
      </c>
      <c r="K111" s="163" t="s">
        <v>183</v>
      </c>
      <c r="L111" s="163" t="s">
        <v>151</v>
      </c>
      <c r="M111" s="163" t="str">
        <f t="shared" si="64"/>
        <v>PCV10 vs NoVax</v>
      </c>
      <c r="N111" s="159" t="s">
        <v>331</v>
      </c>
      <c r="O111" s="159">
        <v>3</v>
      </c>
      <c r="P111" s="162" t="s">
        <v>148</v>
      </c>
      <c r="Q111" s="162" t="s">
        <v>167</v>
      </c>
      <c r="R111" s="162" t="s">
        <v>154</v>
      </c>
      <c r="S111" s="162" t="s">
        <v>155</v>
      </c>
      <c r="T111" s="159">
        <v>2009</v>
      </c>
      <c r="U111" s="165">
        <v>14.24</v>
      </c>
      <c r="V111" s="165">
        <f>IF(ISNUMBER(U111),U111/VLOOKUP($S111,xRates!$A$1:$AA$267,data!$T111-xRates!$B$1+2,FALSE),U111)</f>
        <v>14.24</v>
      </c>
      <c r="W111" s="162" t="s">
        <v>332</v>
      </c>
      <c r="Y111" s="165"/>
      <c r="AA111" s="163" t="s">
        <v>157</v>
      </c>
      <c r="AB111" s="162"/>
      <c r="AC111" s="162" t="str">
        <f t="shared" si="80"/>
        <v/>
      </c>
      <c r="AD111" s="163" t="s">
        <v>157</v>
      </c>
      <c r="AE111" s="162" t="str">
        <f t="shared" si="81"/>
        <v/>
      </c>
      <c r="AF111" s="163" t="s">
        <v>148</v>
      </c>
      <c r="AG111" s="163" t="s">
        <v>148</v>
      </c>
      <c r="AH111" s="163" t="s">
        <v>148</v>
      </c>
      <c r="AJ111" s="162"/>
      <c r="AK111" s="162" t="s">
        <v>476</v>
      </c>
      <c r="AL111" s="163" t="s">
        <v>159</v>
      </c>
      <c r="AM111" s="179">
        <v>4500</v>
      </c>
      <c r="AN111" s="179">
        <v>4500</v>
      </c>
      <c r="AO111" s="179">
        <f t="shared" si="94"/>
        <v>4196.311627</v>
      </c>
      <c r="AP111" s="163" t="str">
        <f t="shared" si="77"/>
        <v>Not Cost-Effective</v>
      </c>
      <c r="AQ111" s="163" t="str">
        <f t="shared" si="66"/>
        <v>Cost-Effective</v>
      </c>
      <c r="AR111" s="167">
        <f t="shared" si="50"/>
        <v>1.0723703099278903</v>
      </c>
      <c r="AS111" s="167">
        <f t="shared" si="83"/>
        <v>1.08</v>
      </c>
      <c r="AT111" s="159" t="str">
        <f t="shared" si="67"/>
        <v>Cost-Effective</v>
      </c>
      <c r="AU111" s="167">
        <f t="shared" si="84"/>
        <v>0.64</v>
      </c>
      <c r="AV111" s="162" t="str">
        <f t="shared" si="68"/>
        <v>Not Cost-Effective</v>
      </c>
      <c r="AW111" s="167">
        <f t="shared" si="85"/>
        <v>0.64868436103329219</v>
      </c>
      <c r="AX111" s="159" t="str">
        <f t="shared" si="69"/>
        <v>Not Cost-Effective</v>
      </c>
      <c r="AY111" s="167">
        <f t="shared" si="86"/>
        <v>0.16487209176159878</v>
      </c>
      <c r="AZ111" s="159" t="str">
        <f t="shared" si="70"/>
        <v>Not Cost-Effective</v>
      </c>
      <c r="BA111" s="167">
        <f t="shared" si="87"/>
        <v>0.88451095719374262</v>
      </c>
      <c r="BB111" s="159" t="str">
        <f t="shared" si="71"/>
        <v>Not Cost-Effective</v>
      </c>
      <c r="BC111" s="167">
        <f t="shared" si="88"/>
        <v>0.366554090368578</v>
      </c>
      <c r="BD111" s="159" t="str">
        <f t="shared" si="72"/>
        <v>Not Cost-Effective</v>
      </c>
      <c r="BE111" s="162" t="s">
        <v>173</v>
      </c>
      <c r="BF111" s="162" t="s">
        <v>174</v>
      </c>
      <c r="BG111" s="168">
        <f t="shared" si="89"/>
        <v>1</v>
      </c>
      <c r="BH111" s="168">
        <f t="shared" si="90"/>
        <v>0</v>
      </c>
      <c r="BI111" s="163">
        <f t="shared" si="91"/>
        <v>1</v>
      </c>
      <c r="BJ111" s="163">
        <f t="shared" si="92"/>
        <v>1</v>
      </c>
      <c r="BK111" s="163">
        <f t="shared" si="73"/>
        <v>1</v>
      </c>
      <c r="BL111" s="163">
        <f t="shared" si="74"/>
        <v>1</v>
      </c>
      <c r="BM111" s="163">
        <f t="shared" si="75"/>
        <v>5</v>
      </c>
      <c r="BN111" s="163" t="s">
        <v>157</v>
      </c>
      <c r="BO111" s="162" t="str">
        <f t="shared" si="95"/>
        <v/>
      </c>
      <c r="BP111" s="162" t="s">
        <v>272</v>
      </c>
      <c r="BQ111" s="162" t="s">
        <v>1425</v>
      </c>
    </row>
    <row r="112" spans="1:70">
      <c r="A112" s="159">
        <f t="shared" si="61"/>
        <v>36</v>
      </c>
      <c r="B112" s="159">
        <f t="shared" si="62"/>
        <v>4</v>
      </c>
      <c r="C112" s="160" t="str">
        <f t="shared" si="49"/>
        <v>3604</v>
      </c>
      <c r="D112" s="159" t="s">
        <v>27</v>
      </c>
      <c r="E112" s="161">
        <v>2013</v>
      </c>
      <c r="F112" s="162" t="s">
        <v>473</v>
      </c>
      <c r="G112" s="162" t="s">
        <v>404</v>
      </c>
      <c r="H112" s="163" t="str">
        <f t="shared" si="93"/>
        <v>UM</v>
      </c>
      <c r="I112" s="163" t="s">
        <v>157</v>
      </c>
      <c r="J112" s="180" t="s">
        <v>462</v>
      </c>
      <c r="K112" s="163" t="s">
        <v>183</v>
      </c>
      <c r="L112" s="163" t="s">
        <v>150</v>
      </c>
      <c r="M112" s="163" t="str">
        <f t="shared" si="64"/>
        <v>PCV10 vs PCV7</v>
      </c>
      <c r="N112" s="159" t="s">
        <v>331</v>
      </c>
      <c r="O112" s="159">
        <v>3</v>
      </c>
      <c r="P112" s="162" t="s">
        <v>148</v>
      </c>
      <c r="Q112" s="162" t="s">
        <v>167</v>
      </c>
      <c r="R112" s="162" t="s">
        <v>154</v>
      </c>
      <c r="S112" s="162" t="s">
        <v>155</v>
      </c>
      <c r="T112" s="159">
        <v>2009</v>
      </c>
      <c r="U112" s="165">
        <v>14.24</v>
      </c>
      <c r="V112" s="165">
        <f>IF(ISNUMBER(U112),U112/VLOOKUP($S112,xRates!$A$1:$AA$267,data!$T112-xRates!$B$1+2,FALSE),U112)</f>
        <v>14.24</v>
      </c>
      <c r="W112" s="162" t="s">
        <v>332</v>
      </c>
      <c r="X112" s="159">
        <v>20</v>
      </c>
      <c r="Y112" s="165">
        <v>20</v>
      </c>
      <c r="Z112" s="162" t="s">
        <v>332</v>
      </c>
      <c r="AA112" s="163" t="s">
        <v>157</v>
      </c>
      <c r="AB112" s="162"/>
      <c r="AC112" s="162" t="str">
        <f t="shared" si="80"/>
        <v/>
      </c>
      <c r="AD112" s="163" t="s">
        <v>157</v>
      </c>
      <c r="AE112" s="162" t="str">
        <f t="shared" si="81"/>
        <v/>
      </c>
      <c r="AF112" s="163" t="s">
        <v>148</v>
      </c>
      <c r="AG112" s="163" t="s">
        <v>148</v>
      </c>
      <c r="AH112" s="163" t="s">
        <v>148</v>
      </c>
      <c r="AJ112" s="162"/>
      <c r="AK112" s="162" t="s">
        <v>477</v>
      </c>
      <c r="AL112" s="163" t="s">
        <v>159</v>
      </c>
      <c r="AM112" s="179">
        <v>-2727</v>
      </c>
      <c r="AN112" s="179">
        <v>-2727</v>
      </c>
      <c r="AO112" s="179">
        <f t="shared" si="94"/>
        <v>4196.311627</v>
      </c>
      <c r="AP112" s="163" t="str">
        <f t="shared" si="77"/>
        <v>Cost-Saving</v>
      </c>
      <c r="AQ112" s="163" t="str">
        <f t="shared" si="66"/>
        <v>Cost-Saving</v>
      </c>
      <c r="AR112" s="167">
        <f t="shared" si="50"/>
        <v>-0.64985640781630161</v>
      </c>
      <c r="AS112" s="167">
        <f t="shared" si="83"/>
        <v>1.08</v>
      </c>
      <c r="AT112" s="159" t="str">
        <f t="shared" si="67"/>
        <v>Cost-Saving</v>
      </c>
      <c r="AU112" s="167">
        <f t="shared" si="84"/>
        <v>0.64</v>
      </c>
      <c r="AV112" s="162" t="str">
        <f t="shared" si="68"/>
        <v>Cost-Saving</v>
      </c>
      <c r="AW112" s="167">
        <f t="shared" si="85"/>
        <v>0.64868436103329219</v>
      </c>
      <c r="AX112" s="159" t="str">
        <f t="shared" si="69"/>
        <v>Cost-Saving</v>
      </c>
      <c r="AY112" s="167">
        <f t="shared" si="86"/>
        <v>0.16487209176159878</v>
      </c>
      <c r="AZ112" s="159" t="str">
        <f t="shared" si="70"/>
        <v>Cost-Saving</v>
      </c>
      <c r="BA112" s="167">
        <f t="shared" si="87"/>
        <v>0.88451095719374262</v>
      </c>
      <c r="BB112" s="159" t="str">
        <f t="shared" si="71"/>
        <v>Cost-Saving</v>
      </c>
      <c r="BC112" s="167">
        <f t="shared" si="88"/>
        <v>0.366554090368578</v>
      </c>
      <c r="BD112" s="159" t="str">
        <f t="shared" si="72"/>
        <v>Cost-Saving</v>
      </c>
      <c r="BE112" s="162" t="s">
        <v>173</v>
      </c>
      <c r="BF112" s="162" t="s">
        <v>239</v>
      </c>
      <c r="BG112" s="168" t="str">
        <f t="shared" si="89"/>
        <v>.</v>
      </c>
      <c r="BH112" s="168" t="str">
        <f t="shared" si="90"/>
        <v>.</v>
      </c>
      <c r="BI112" s="163" t="str">
        <f t="shared" si="91"/>
        <v>.</v>
      </c>
      <c r="BJ112" s="163" t="str">
        <f t="shared" si="92"/>
        <v>.</v>
      </c>
      <c r="BK112" s="163" t="str">
        <f t="shared" si="73"/>
        <v>.</v>
      </c>
      <c r="BL112" s="163" t="str">
        <f t="shared" si="74"/>
        <v>.</v>
      </c>
      <c r="BM112" s="163">
        <f t="shared" si="75"/>
        <v>0</v>
      </c>
      <c r="BN112" s="163" t="s">
        <v>157</v>
      </c>
      <c r="BO112" s="162" t="str">
        <f t="shared" si="95"/>
        <v/>
      </c>
      <c r="BP112" s="162" t="s">
        <v>272</v>
      </c>
      <c r="BQ112" s="162" t="s">
        <v>1425</v>
      </c>
    </row>
    <row r="113" spans="1:69">
      <c r="A113" s="159">
        <f t="shared" si="61"/>
        <v>36</v>
      </c>
      <c r="B113" s="159">
        <f t="shared" si="62"/>
        <v>5</v>
      </c>
      <c r="C113" s="160" t="str">
        <f t="shared" si="49"/>
        <v>3605</v>
      </c>
      <c r="D113" s="159" t="s">
        <v>27</v>
      </c>
      <c r="E113" s="161">
        <v>2013</v>
      </c>
      <c r="F113" s="162" t="s">
        <v>473</v>
      </c>
      <c r="G113" s="162" t="s">
        <v>404</v>
      </c>
      <c r="H113" s="163" t="str">
        <f t="shared" si="93"/>
        <v>UM</v>
      </c>
      <c r="I113" s="163" t="s">
        <v>157</v>
      </c>
      <c r="J113" s="180" t="s">
        <v>478</v>
      </c>
      <c r="K113" s="163" t="s">
        <v>186</v>
      </c>
      <c r="L113" s="163" t="s">
        <v>150</v>
      </c>
      <c r="M113" s="163" t="str">
        <f t="shared" si="64"/>
        <v>PCV13 vs PCV7</v>
      </c>
      <c r="N113" s="159" t="s">
        <v>331</v>
      </c>
      <c r="O113" s="159">
        <v>3</v>
      </c>
      <c r="P113" s="162" t="s">
        <v>148</v>
      </c>
      <c r="Q113" s="162" t="s">
        <v>167</v>
      </c>
      <c r="R113" s="162" t="s">
        <v>154</v>
      </c>
      <c r="S113" s="162" t="s">
        <v>155</v>
      </c>
      <c r="T113" s="159">
        <v>2009</v>
      </c>
      <c r="U113" s="165">
        <v>16.34</v>
      </c>
      <c r="V113" s="165">
        <f>IF(ISNUMBER(U113),U113/VLOOKUP($S113,xRates!$A$1:$AA$267,data!$T113-xRates!$B$1+2,FALSE),U113)</f>
        <v>16.34</v>
      </c>
      <c r="W113" s="162" t="s">
        <v>332</v>
      </c>
      <c r="X113" s="159">
        <v>20</v>
      </c>
      <c r="Y113" s="165">
        <v>20</v>
      </c>
      <c r="Z113" s="162" t="s">
        <v>332</v>
      </c>
      <c r="AA113" s="163" t="s">
        <v>157</v>
      </c>
      <c r="AB113" s="162"/>
      <c r="AC113" s="162" t="str">
        <f t="shared" si="80"/>
        <v/>
      </c>
      <c r="AD113" s="163" t="s">
        <v>157</v>
      </c>
      <c r="AE113" s="162" t="str">
        <f t="shared" si="81"/>
        <v/>
      </c>
      <c r="AF113" s="163" t="s">
        <v>148</v>
      </c>
      <c r="AG113" s="163" t="s">
        <v>148</v>
      </c>
      <c r="AH113" s="163" t="s">
        <v>148</v>
      </c>
      <c r="AJ113" s="162"/>
      <c r="AK113" s="162" t="s">
        <v>479</v>
      </c>
      <c r="AL113" s="163" t="s">
        <v>159</v>
      </c>
      <c r="AM113" s="179">
        <v>999999</v>
      </c>
      <c r="AN113" s="179">
        <f>AM113</f>
        <v>999999</v>
      </c>
      <c r="AO113" s="179">
        <f t="shared" si="94"/>
        <v>4196.311627</v>
      </c>
      <c r="AP113" s="163" t="str">
        <f t="shared" si="77"/>
        <v>Not Cost-Effective</v>
      </c>
      <c r="AQ113" s="163" t="str">
        <f t="shared" si="66"/>
        <v>Not Cost-Effective</v>
      </c>
      <c r="AR113" s="167">
        <f t="shared" si="50"/>
        <v>238.30427501279567</v>
      </c>
      <c r="AS113" s="167">
        <f t="shared" si="83"/>
        <v>1.08</v>
      </c>
      <c r="AT113" s="159" t="str">
        <f t="shared" si="67"/>
        <v>Not Cost-Effective</v>
      </c>
      <c r="AU113" s="167">
        <f t="shared" si="84"/>
        <v>0.64</v>
      </c>
      <c r="AV113" s="162" t="str">
        <f t="shared" si="68"/>
        <v>Not Cost-Effective</v>
      </c>
      <c r="AW113" s="167">
        <f t="shared" si="85"/>
        <v>0.64868436103329219</v>
      </c>
      <c r="AX113" s="159" t="str">
        <f t="shared" si="69"/>
        <v>Not Cost-Effective</v>
      </c>
      <c r="AY113" s="167">
        <f t="shared" si="86"/>
        <v>0.16487209176159878</v>
      </c>
      <c r="AZ113" s="159" t="str">
        <f t="shared" si="70"/>
        <v>Not Cost-Effective</v>
      </c>
      <c r="BA113" s="167">
        <f t="shared" si="87"/>
        <v>0.88451095719374262</v>
      </c>
      <c r="BB113" s="159" t="str">
        <f t="shared" si="71"/>
        <v>Not Cost-Effective</v>
      </c>
      <c r="BC113" s="167">
        <f t="shared" si="88"/>
        <v>0.366554090368578</v>
      </c>
      <c r="BD113" s="159" t="str">
        <f t="shared" si="72"/>
        <v>Not Cost-Effective</v>
      </c>
      <c r="BE113" s="162" t="s">
        <v>173</v>
      </c>
      <c r="BF113" s="162" t="s">
        <v>161</v>
      </c>
      <c r="BG113" s="168" t="str">
        <f t="shared" si="89"/>
        <v>.</v>
      </c>
      <c r="BH113" s="168" t="str">
        <f t="shared" si="90"/>
        <v>.</v>
      </c>
      <c r="BI113" s="163" t="str">
        <f t="shared" si="91"/>
        <v>.</v>
      </c>
      <c r="BJ113" s="163" t="str">
        <f t="shared" si="92"/>
        <v>.</v>
      </c>
      <c r="BK113" s="163" t="str">
        <f t="shared" si="73"/>
        <v>.</v>
      </c>
      <c r="BL113" s="163" t="str">
        <f t="shared" si="74"/>
        <v>.</v>
      </c>
      <c r="BM113" s="163">
        <f t="shared" si="75"/>
        <v>0</v>
      </c>
      <c r="BN113" s="163" t="s">
        <v>157</v>
      </c>
      <c r="BO113" s="162" t="str">
        <f t="shared" si="95"/>
        <v/>
      </c>
      <c r="BP113" s="162" t="s">
        <v>272</v>
      </c>
      <c r="BQ113" s="162" t="s">
        <v>1425</v>
      </c>
    </row>
    <row r="114" spans="1:69">
      <c r="A114" s="159">
        <f t="shared" si="61"/>
        <v>37</v>
      </c>
      <c r="B114" s="159">
        <f t="shared" si="62"/>
        <v>1</v>
      </c>
      <c r="C114" s="160" t="str">
        <f t="shared" si="49"/>
        <v>3701</v>
      </c>
      <c r="D114" s="159" t="s">
        <v>480</v>
      </c>
      <c r="E114" s="161">
        <v>2015</v>
      </c>
      <c r="F114" s="162" t="s">
        <v>481</v>
      </c>
      <c r="G114" s="162" t="s">
        <v>482</v>
      </c>
      <c r="H114" s="163" t="str">
        <f t="shared" si="93"/>
        <v>LM</v>
      </c>
      <c r="I114" s="163" t="s">
        <v>157</v>
      </c>
      <c r="J114" s="180" t="s">
        <v>352</v>
      </c>
      <c r="K114" s="163" t="s">
        <v>183</v>
      </c>
      <c r="L114" s="163" t="s">
        <v>151</v>
      </c>
      <c r="M114" s="163" t="str">
        <f t="shared" si="64"/>
        <v>PCV10 vs NoVax</v>
      </c>
      <c r="N114" s="159" t="s">
        <v>152</v>
      </c>
      <c r="O114" s="159">
        <v>3</v>
      </c>
      <c r="P114" s="162" t="s">
        <v>148</v>
      </c>
      <c r="Q114" s="162" t="s">
        <v>167</v>
      </c>
      <c r="R114" s="162" t="s">
        <v>154</v>
      </c>
      <c r="S114" s="162" t="s">
        <v>155</v>
      </c>
      <c r="T114" s="159">
        <v>2009</v>
      </c>
      <c r="U114" s="165">
        <v>14.85</v>
      </c>
      <c r="V114" s="165">
        <f>IF(ISNUMBER(U114),U114/VLOOKUP($S114,xRates!$A$1:$AA$267,data!$T114-xRates!$B$1+2,FALSE),U114)</f>
        <v>14.85</v>
      </c>
      <c r="W114" s="162" t="s">
        <v>332</v>
      </c>
      <c r="Y114" s="165"/>
      <c r="AA114" s="163" t="s">
        <v>157</v>
      </c>
      <c r="AB114" s="162"/>
      <c r="AC114" s="162" t="str">
        <f t="shared" si="80"/>
        <v/>
      </c>
      <c r="AD114" s="163" t="s">
        <v>157</v>
      </c>
      <c r="AE114" s="162" t="str">
        <f t="shared" si="81"/>
        <v/>
      </c>
      <c r="AF114" s="163" t="s">
        <v>148</v>
      </c>
      <c r="AG114" s="163" t="s">
        <v>148</v>
      </c>
      <c r="AH114" s="163" t="s">
        <v>148</v>
      </c>
      <c r="AJ114" s="162" t="s">
        <v>483</v>
      </c>
      <c r="AK114" s="162" t="s">
        <v>484</v>
      </c>
      <c r="AL114" s="163" t="s">
        <v>247</v>
      </c>
      <c r="AM114" s="179">
        <v>3851</v>
      </c>
      <c r="AN114" s="179">
        <v>3851</v>
      </c>
      <c r="AO114" s="179">
        <f t="shared" si="94"/>
        <v>3626.8186369999999</v>
      </c>
      <c r="AP114" s="163" t="str">
        <f t="shared" si="77"/>
        <v>Not Cost-Effective</v>
      </c>
      <c r="AQ114" s="163" t="str">
        <f t="shared" si="66"/>
        <v>Cost-Effective</v>
      </c>
      <c r="AR114" s="167">
        <f t="shared" si="50"/>
        <v>1.061812123912939</v>
      </c>
      <c r="AS114" s="167">
        <f t="shared" si="83"/>
        <v>1.42</v>
      </c>
      <c r="AT114" s="159" t="str">
        <f t="shared" si="67"/>
        <v>Cost-Effective</v>
      </c>
      <c r="AU114" s="167">
        <f t="shared" si="84"/>
        <v>0.83</v>
      </c>
      <c r="AV114" s="162" t="str">
        <f t="shared" si="68"/>
        <v>Not Cost-Effective</v>
      </c>
      <c r="AW114" s="167">
        <f t="shared" si="85"/>
        <v>0.36702186686280114</v>
      </c>
      <c r="AX114" s="159" t="str">
        <f t="shared" si="69"/>
        <v>Not Cost-Effective</v>
      </c>
      <c r="AY114" s="167">
        <f t="shared" si="86"/>
        <v>8.1522984654243125E-2</v>
      </c>
      <c r="AZ114" s="159" t="str">
        <f t="shared" si="70"/>
        <v>Not Cost-Effective</v>
      </c>
      <c r="BA114" s="167">
        <f t="shared" si="87"/>
        <v>1.1990418097854487</v>
      </c>
      <c r="BB114" s="159" t="str">
        <f t="shared" si="71"/>
        <v>Cost-Effective</v>
      </c>
      <c r="BC114" s="167">
        <f t="shared" si="88"/>
        <v>0.49693704267921418</v>
      </c>
      <c r="BD114" s="159" t="str">
        <f t="shared" si="72"/>
        <v>Not Cost-Effective</v>
      </c>
      <c r="BE114" s="162" t="s">
        <v>173</v>
      </c>
      <c r="BF114" s="162" t="s">
        <v>174</v>
      </c>
      <c r="BG114" s="168">
        <f t="shared" si="89"/>
        <v>1</v>
      </c>
      <c r="BH114" s="168">
        <f t="shared" si="90"/>
        <v>0</v>
      </c>
      <c r="BI114" s="163">
        <f t="shared" si="91"/>
        <v>1</v>
      </c>
      <c r="BJ114" s="163">
        <f t="shared" si="92"/>
        <v>1</v>
      </c>
      <c r="BK114" s="163">
        <f t="shared" si="73"/>
        <v>1</v>
      </c>
      <c r="BL114" s="163">
        <f t="shared" si="74"/>
        <v>0</v>
      </c>
      <c r="BM114" s="163">
        <f t="shared" si="75"/>
        <v>4</v>
      </c>
      <c r="BN114" s="163" t="s">
        <v>148</v>
      </c>
      <c r="BO114" s="162" t="s">
        <v>485</v>
      </c>
      <c r="BP114" s="162" t="s">
        <v>1403</v>
      </c>
      <c r="BQ114" s="162" t="s">
        <v>1426</v>
      </c>
    </row>
    <row r="115" spans="1:69">
      <c r="A115" s="159">
        <f t="shared" si="61"/>
        <v>37</v>
      </c>
      <c r="B115" s="159">
        <f t="shared" si="62"/>
        <v>2</v>
      </c>
      <c r="C115" s="160" t="str">
        <f t="shared" si="49"/>
        <v>3702</v>
      </c>
      <c r="D115" s="159" t="s">
        <v>480</v>
      </c>
      <c r="E115" s="161">
        <v>2015</v>
      </c>
      <c r="F115" s="162" t="s">
        <v>481</v>
      </c>
      <c r="G115" s="162" t="s">
        <v>482</v>
      </c>
      <c r="H115" s="163" t="str">
        <f t="shared" si="93"/>
        <v>LM</v>
      </c>
      <c r="I115" s="163" t="s">
        <v>157</v>
      </c>
      <c r="J115" s="180" t="s">
        <v>352</v>
      </c>
      <c r="K115" s="163" t="s">
        <v>183</v>
      </c>
      <c r="L115" s="163" t="s">
        <v>151</v>
      </c>
      <c r="M115" s="163" t="str">
        <f t="shared" si="64"/>
        <v>PCV10 vs NoVax</v>
      </c>
      <c r="N115" s="159" t="s">
        <v>152</v>
      </c>
      <c r="O115" s="159">
        <v>3</v>
      </c>
      <c r="P115" s="162" t="s">
        <v>157</v>
      </c>
      <c r="Q115" s="162" t="s">
        <v>153</v>
      </c>
      <c r="R115" s="162" t="s">
        <v>154</v>
      </c>
      <c r="S115" s="162" t="s">
        <v>155</v>
      </c>
      <c r="T115" s="159">
        <v>2009</v>
      </c>
      <c r="U115" s="165">
        <v>14.85</v>
      </c>
      <c r="V115" s="165">
        <f>IF(ISNUMBER(U115),U115/VLOOKUP($S115,xRates!$A$1:$AA$267,data!$T115-xRates!$B$1+2,FALSE),U115)</f>
        <v>14.85</v>
      </c>
      <c r="W115" s="162" t="s">
        <v>332</v>
      </c>
      <c r="Y115" s="165"/>
      <c r="AA115" s="163" t="s">
        <v>157</v>
      </c>
      <c r="AB115" s="162"/>
      <c r="AC115" s="162" t="str">
        <f t="shared" si="80"/>
        <v/>
      </c>
      <c r="AD115" s="163" t="s">
        <v>157</v>
      </c>
      <c r="AE115" s="162" t="str">
        <f t="shared" si="81"/>
        <v/>
      </c>
      <c r="AF115" s="163" t="s">
        <v>148</v>
      </c>
      <c r="AG115" s="163" t="s">
        <v>148</v>
      </c>
      <c r="AH115" s="163" t="s">
        <v>148</v>
      </c>
      <c r="AJ115" s="162" t="s">
        <v>483</v>
      </c>
      <c r="AK115" s="162" t="s">
        <v>486</v>
      </c>
      <c r="AL115" s="163" t="s">
        <v>247</v>
      </c>
      <c r="AM115" s="179">
        <v>1920</v>
      </c>
      <c r="AN115" s="179">
        <v>1920</v>
      </c>
      <c r="AO115" s="179">
        <f t="shared" si="94"/>
        <v>3626.8186369999999</v>
      </c>
      <c r="AP115" s="163" t="str">
        <f t="shared" si="77"/>
        <v>Cost-Effective</v>
      </c>
      <c r="AQ115" s="163" t="str">
        <f t="shared" si="66"/>
        <v>Cost-Effective</v>
      </c>
      <c r="AR115" s="167">
        <f t="shared" si="50"/>
        <v>0.52938958138479431</v>
      </c>
      <c r="AS115" s="167">
        <f t="shared" si="83"/>
        <v>1.42</v>
      </c>
      <c r="AT115" s="159" t="str">
        <f t="shared" si="67"/>
        <v>Cost-Effective</v>
      </c>
      <c r="AU115" s="167">
        <f t="shared" si="84"/>
        <v>0.83</v>
      </c>
      <c r="AV115" s="162" t="str">
        <f t="shared" si="68"/>
        <v>Cost-Effective</v>
      </c>
      <c r="AW115" s="167">
        <f t="shared" si="85"/>
        <v>0.36702186686280114</v>
      </c>
      <c r="AX115" s="159" t="str">
        <f t="shared" si="69"/>
        <v>Not Cost-Effective</v>
      </c>
      <c r="AY115" s="167">
        <f t="shared" si="86"/>
        <v>8.1522984654243125E-2</v>
      </c>
      <c r="AZ115" s="159" t="str">
        <f t="shared" si="70"/>
        <v>Not Cost-Effective</v>
      </c>
      <c r="BA115" s="167">
        <f t="shared" si="87"/>
        <v>1.1990418097854487</v>
      </c>
      <c r="BB115" s="159" t="str">
        <f t="shared" si="71"/>
        <v>Cost-Effective</v>
      </c>
      <c r="BC115" s="167">
        <f t="shared" si="88"/>
        <v>0.49693704267921418</v>
      </c>
      <c r="BD115" s="159" t="str">
        <f t="shared" si="72"/>
        <v>Not Cost-Effective</v>
      </c>
      <c r="BE115" s="162" t="s">
        <v>173</v>
      </c>
      <c r="BF115" s="162" t="s">
        <v>174</v>
      </c>
      <c r="BG115" s="168">
        <f t="shared" si="89"/>
        <v>0</v>
      </c>
      <c r="BH115" s="168">
        <f t="shared" si="90"/>
        <v>0</v>
      </c>
      <c r="BI115" s="163">
        <f t="shared" si="91"/>
        <v>1</v>
      </c>
      <c r="BJ115" s="163">
        <f t="shared" si="92"/>
        <v>1</v>
      </c>
      <c r="BK115" s="163">
        <f t="shared" si="73"/>
        <v>1</v>
      </c>
      <c r="BL115" s="163">
        <f t="shared" si="74"/>
        <v>0</v>
      </c>
      <c r="BM115" s="163">
        <f t="shared" si="75"/>
        <v>3</v>
      </c>
      <c r="BN115" s="163" t="s">
        <v>148</v>
      </c>
      <c r="BO115" s="162" t="s">
        <v>485</v>
      </c>
      <c r="BP115" s="162" t="s">
        <v>1403</v>
      </c>
      <c r="BQ115" s="162" t="s">
        <v>1426</v>
      </c>
    </row>
    <row r="116" spans="1:69">
      <c r="A116" s="159">
        <f t="shared" si="61"/>
        <v>37</v>
      </c>
      <c r="B116" s="159">
        <f t="shared" si="62"/>
        <v>3</v>
      </c>
      <c r="C116" s="160" t="str">
        <f t="shared" si="49"/>
        <v>3703</v>
      </c>
      <c r="D116" s="159" t="s">
        <v>480</v>
      </c>
      <c r="E116" s="161">
        <v>2015</v>
      </c>
      <c r="F116" s="162" t="s">
        <v>481</v>
      </c>
      <c r="G116" s="162" t="s">
        <v>482</v>
      </c>
      <c r="H116" s="163" t="str">
        <f t="shared" si="93"/>
        <v>LM</v>
      </c>
      <c r="I116" s="163" t="s">
        <v>157</v>
      </c>
      <c r="J116" s="180" t="s">
        <v>353</v>
      </c>
      <c r="K116" s="163" t="s">
        <v>186</v>
      </c>
      <c r="L116" s="163" t="s">
        <v>151</v>
      </c>
      <c r="M116" s="163" t="str">
        <f t="shared" si="64"/>
        <v>PCV13 vs NoVax</v>
      </c>
      <c r="N116" s="159" t="s">
        <v>152</v>
      </c>
      <c r="O116" s="159">
        <v>3</v>
      </c>
      <c r="P116" s="162" t="s">
        <v>148</v>
      </c>
      <c r="Q116" s="162" t="s">
        <v>167</v>
      </c>
      <c r="R116" s="162" t="s">
        <v>154</v>
      </c>
      <c r="S116" s="162" t="s">
        <v>155</v>
      </c>
      <c r="T116" s="159">
        <v>2009</v>
      </c>
      <c r="U116" s="165">
        <v>20</v>
      </c>
      <c r="V116" s="165">
        <f>IF(ISNUMBER(U116),U116/VLOOKUP($S116,xRates!$A$1:$AA$267,data!$T116-xRates!$B$1+2,FALSE),U116)</f>
        <v>20</v>
      </c>
      <c r="W116" s="162" t="s">
        <v>332</v>
      </c>
      <c r="Y116" s="165"/>
      <c r="AA116" s="163" t="s">
        <v>157</v>
      </c>
      <c r="AB116" s="162"/>
      <c r="AC116" s="162" t="str">
        <f t="shared" si="80"/>
        <v/>
      </c>
      <c r="AD116" s="163" t="s">
        <v>157</v>
      </c>
      <c r="AE116" s="162" t="str">
        <f t="shared" si="81"/>
        <v/>
      </c>
      <c r="AF116" s="163" t="s">
        <v>148</v>
      </c>
      <c r="AG116" s="163" t="s">
        <v>148</v>
      </c>
      <c r="AH116" s="163" t="s">
        <v>148</v>
      </c>
      <c r="AJ116" s="162" t="s">
        <v>483</v>
      </c>
      <c r="AK116" s="162" t="s">
        <v>487</v>
      </c>
      <c r="AL116" s="163" t="s">
        <v>247</v>
      </c>
      <c r="AM116" s="179">
        <v>4901</v>
      </c>
      <c r="AN116" s="179">
        <v>4901</v>
      </c>
      <c r="AO116" s="179">
        <f t="shared" si="94"/>
        <v>3626.8186369999999</v>
      </c>
      <c r="AP116" s="163" t="str">
        <f t="shared" si="77"/>
        <v>Not Cost-Effective</v>
      </c>
      <c r="AQ116" s="163" t="str">
        <f t="shared" si="66"/>
        <v>Cost-Effective</v>
      </c>
      <c r="AR116" s="167">
        <f t="shared" si="50"/>
        <v>1.3513220512327482</v>
      </c>
      <c r="AS116" s="167">
        <f t="shared" si="83"/>
        <v>1.42</v>
      </c>
      <c r="AT116" s="159" t="str">
        <f t="shared" si="67"/>
        <v>Cost-Effective</v>
      </c>
      <c r="AU116" s="167">
        <f t="shared" si="84"/>
        <v>0.83</v>
      </c>
      <c r="AV116" s="162" t="str">
        <f t="shared" si="68"/>
        <v>Not Cost-Effective</v>
      </c>
      <c r="AW116" s="167">
        <f t="shared" si="85"/>
        <v>0.36702186686280114</v>
      </c>
      <c r="AX116" s="159" t="str">
        <f t="shared" si="69"/>
        <v>Not Cost-Effective</v>
      </c>
      <c r="AY116" s="167">
        <f t="shared" si="86"/>
        <v>8.1522984654243125E-2</v>
      </c>
      <c r="AZ116" s="159" t="str">
        <f t="shared" si="70"/>
        <v>Not Cost-Effective</v>
      </c>
      <c r="BA116" s="167">
        <f t="shared" si="87"/>
        <v>1.1990418097854487</v>
      </c>
      <c r="BB116" s="159" t="str">
        <f t="shared" si="71"/>
        <v>Not Cost-Effective</v>
      </c>
      <c r="BC116" s="167">
        <f t="shared" si="88"/>
        <v>0.49693704267921418</v>
      </c>
      <c r="BD116" s="159" t="str">
        <f t="shared" si="72"/>
        <v>Not Cost-Effective</v>
      </c>
      <c r="BE116" s="162" t="s">
        <v>173</v>
      </c>
      <c r="BF116" s="162" t="s">
        <v>174</v>
      </c>
      <c r="BG116" s="168">
        <f t="shared" si="89"/>
        <v>1</v>
      </c>
      <c r="BH116" s="168">
        <f t="shared" si="90"/>
        <v>0</v>
      </c>
      <c r="BI116" s="163">
        <f t="shared" si="91"/>
        <v>1</v>
      </c>
      <c r="BJ116" s="163">
        <f t="shared" si="92"/>
        <v>1</v>
      </c>
      <c r="BK116" s="163">
        <f t="shared" si="73"/>
        <v>1</v>
      </c>
      <c r="BL116" s="163">
        <f t="shared" si="74"/>
        <v>1</v>
      </c>
      <c r="BM116" s="163">
        <f t="shared" si="75"/>
        <v>5</v>
      </c>
      <c r="BN116" s="163" t="s">
        <v>148</v>
      </c>
      <c r="BO116" s="162" t="s">
        <v>488</v>
      </c>
      <c r="BP116" s="162" t="s">
        <v>1403</v>
      </c>
      <c r="BQ116" s="162" t="s">
        <v>1426</v>
      </c>
    </row>
    <row r="117" spans="1:69">
      <c r="A117" s="159">
        <f t="shared" si="61"/>
        <v>37</v>
      </c>
      <c r="B117" s="159">
        <f t="shared" si="62"/>
        <v>4</v>
      </c>
      <c r="C117" s="160" t="str">
        <f t="shared" si="49"/>
        <v>3704</v>
      </c>
      <c r="D117" s="159" t="s">
        <v>480</v>
      </c>
      <c r="E117" s="161">
        <v>2015</v>
      </c>
      <c r="F117" s="162" t="s">
        <v>481</v>
      </c>
      <c r="G117" s="162" t="s">
        <v>482</v>
      </c>
      <c r="H117" s="163" t="str">
        <f t="shared" si="93"/>
        <v>LM</v>
      </c>
      <c r="I117" s="163" t="s">
        <v>157</v>
      </c>
      <c r="J117" s="180" t="s">
        <v>353</v>
      </c>
      <c r="K117" s="163" t="s">
        <v>186</v>
      </c>
      <c r="L117" s="163" t="s">
        <v>151</v>
      </c>
      <c r="M117" s="163" t="str">
        <f t="shared" si="64"/>
        <v>PCV13 vs NoVax</v>
      </c>
      <c r="N117" s="159" t="s">
        <v>152</v>
      </c>
      <c r="O117" s="159">
        <v>3</v>
      </c>
      <c r="P117" s="162" t="s">
        <v>157</v>
      </c>
      <c r="Q117" s="162" t="s">
        <v>153</v>
      </c>
      <c r="R117" s="162" t="s">
        <v>154</v>
      </c>
      <c r="S117" s="162" t="s">
        <v>155</v>
      </c>
      <c r="T117" s="159">
        <v>2009</v>
      </c>
      <c r="U117" s="165">
        <v>20</v>
      </c>
      <c r="V117" s="165">
        <f>IF(ISNUMBER(U117),U117/VLOOKUP($S117,xRates!$A$1:$AA$267,data!$T117-xRates!$B$1+2,FALSE),U117)</f>
        <v>20</v>
      </c>
      <c r="W117" s="162" t="s">
        <v>332</v>
      </c>
      <c r="Y117" s="165"/>
      <c r="AA117" s="163" t="s">
        <v>157</v>
      </c>
      <c r="AB117" s="162"/>
      <c r="AC117" s="162" t="str">
        <f t="shared" si="80"/>
        <v/>
      </c>
      <c r="AD117" s="163" t="s">
        <v>157</v>
      </c>
      <c r="AE117" s="162" t="str">
        <f t="shared" si="81"/>
        <v/>
      </c>
      <c r="AF117" s="163" t="s">
        <v>148</v>
      </c>
      <c r="AG117" s="163" t="s">
        <v>148</v>
      </c>
      <c r="AH117" s="163" t="s">
        <v>148</v>
      </c>
      <c r="AJ117" s="162" t="s">
        <v>483</v>
      </c>
      <c r="AK117" s="162" t="s">
        <v>489</v>
      </c>
      <c r="AL117" s="163" t="s">
        <v>247</v>
      </c>
      <c r="AM117" s="179">
        <v>3657</v>
      </c>
      <c r="AN117" s="179">
        <v>3657</v>
      </c>
      <c r="AO117" s="179">
        <f t="shared" si="94"/>
        <v>3626.8186369999999</v>
      </c>
      <c r="AP117" s="163" t="str">
        <f t="shared" si="77"/>
        <v>Not Cost-Effective</v>
      </c>
      <c r="AQ117" s="163" t="str">
        <f t="shared" si="66"/>
        <v>Cost-Effective</v>
      </c>
      <c r="AR117" s="167">
        <f t="shared" si="50"/>
        <v>1.0083217182938502</v>
      </c>
      <c r="AS117" s="167">
        <f t="shared" si="83"/>
        <v>1.42</v>
      </c>
      <c r="AT117" s="159" t="str">
        <f t="shared" si="67"/>
        <v>Cost-Effective</v>
      </c>
      <c r="AU117" s="167">
        <f t="shared" si="84"/>
        <v>0.83</v>
      </c>
      <c r="AV117" s="162" t="str">
        <f t="shared" si="68"/>
        <v>Not Cost-Effective</v>
      </c>
      <c r="AW117" s="167">
        <f t="shared" si="85"/>
        <v>0.36702186686280114</v>
      </c>
      <c r="AX117" s="159" t="str">
        <f t="shared" si="69"/>
        <v>Not Cost-Effective</v>
      </c>
      <c r="AY117" s="167">
        <f t="shared" si="86"/>
        <v>8.1522984654243125E-2</v>
      </c>
      <c r="AZ117" s="159" t="str">
        <f t="shared" si="70"/>
        <v>Not Cost-Effective</v>
      </c>
      <c r="BA117" s="167">
        <f t="shared" si="87"/>
        <v>1.1990418097854487</v>
      </c>
      <c r="BB117" s="159" t="str">
        <f t="shared" si="71"/>
        <v>Cost-Effective</v>
      </c>
      <c r="BC117" s="167">
        <f t="shared" si="88"/>
        <v>0.49693704267921418</v>
      </c>
      <c r="BD117" s="159" t="str">
        <f t="shared" si="72"/>
        <v>Not Cost-Effective</v>
      </c>
      <c r="BE117" s="162" t="s">
        <v>173</v>
      </c>
      <c r="BF117" s="162" t="s">
        <v>174</v>
      </c>
      <c r="BG117" s="168">
        <f t="shared" si="89"/>
        <v>1</v>
      </c>
      <c r="BH117" s="168">
        <f t="shared" si="90"/>
        <v>0</v>
      </c>
      <c r="BI117" s="163">
        <f t="shared" si="91"/>
        <v>1</v>
      </c>
      <c r="BJ117" s="163">
        <f t="shared" si="92"/>
        <v>1</v>
      </c>
      <c r="BK117" s="163">
        <f t="shared" si="73"/>
        <v>1</v>
      </c>
      <c r="BL117" s="163">
        <f t="shared" si="74"/>
        <v>0</v>
      </c>
      <c r="BM117" s="163">
        <f t="shared" si="75"/>
        <v>4</v>
      </c>
      <c r="BN117" s="163" t="s">
        <v>148</v>
      </c>
      <c r="BO117" s="162" t="s">
        <v>488</v>
      </c>
      <c r="BP117" s="162" t="s">
        <v>1403</v>
      </c>
      <c r="BQ117" s="162" t="s">
        <v>1426</v>
      </c>
    </row>
    <row r="118" spans="1:69">
      <c r="A118" s="159">
        <f t="shared" si="61"/>
        <v>37</v>
      </c>
      <c r="B118" s="159">
        <f t="shared" si="62"/>
        <v>5</v>
      </c>
      <c r="C118" s="160" t="str">
        <f t="shared" si="49"/>
        <v>3705</v>
      </c>
      <c r="D118" s="159" t="s">
        <v>480</v>
      </c>
      <c r="E118" s="161">
        <v>2015</v>
      </c>
      <c r="F118" s="162" t="s">
        <v>481</v>
      </c>
      <c r="G118" s="162" t="s">
        <v>482</v>
      </c>
      <c r="H118" s="163" t="str">
        <f t="shared" si="93"/>
        <v>LM</v>
      </c>
      <c r="I118" s="163" t="s">
        <v>157</v>
      </c>
      <c r="J118" s="180" t="s">
        <v>371</v>
      </c>
      <c r="K118" s="163" t="s">
        <v>186</v>
      </c>
      <c r="L118" s="163" t="s">
        <v>183</v>
      </c>
      <c r="M118" s="163" t="str">
        <f t="shared" si="64"/>
        <v>PCV13 vs PCV10</v>
      </c>
      <c r="N118" s="159" t="s">
        <v>152</v>
      </c>
      <c r="O118" s="159">
        <v>3</v>
      </c>
      <c r="P118" s="162" t="s">
        <v>148</v>
      </c>
      <c r="Q118" s="162" t="s">
        <v>167</v>
      </c>
      <c r="R118" s="162" t="s">
        <v>154</v>
      </c>
      <c r="S118" s="162" t="s">
        <v>155</v>
      </c>
      <c r="T118" s="159">
        <v>2009</v>
      </c>
      <c r="U118" s="165">
        <v>20</v>
      </c>
      <c r="V118" s="165">
        <f>IF(ISNUMBER(U118),U118/VLOOKUP($S118,xRates!$A$1:$AA$267,data!$T118-xRates!$B$1+2,FALSE),U118)</f>
        <v>20</v>
      </c>
      <c r="W118" s="162" t="s">
        <v>332</v>
      </c>
      <c r="X118" s="159">
        <v>14.85</v>
      </c>
      <c r="Y118" s="165">
        <v>14.85</v>
      </c>
      <c r="Z118" s="162" t="s">
        <v>332</v>
      </c>
      <c r="AA118" s="163" t="s">
        <v>157</v>
      </c>
      <c r="AB118" s="162"/>
      <c r="AC118" s="162" t="str">
        <f t="shared" si="80"/>
        <v/>
      </c>
      <c r="AD118" s="163" t="s">
        <v>157</v>
      </c>
      <c r="AE118" s="162" t="str">
        <f t="shared" si="81"/>
        <v/>
      </c>
      <c r="AF118" s="163" t="s">
        <v>148</v>
      </c>
      <c r="AG118" s="163" t="s">
        <v>148</v>
      </c>
      <c r="AH118" s="163" t="s">
        <v>148</v>
      </c>
      <c r="AJ118" s="162" t="s">
        <v>483</v>
      </c>
      <c r="AK118" s="162" t="s">
        <v>490</v>
      </c>
      <c r="AL118" s="163" t="s">
        <v>247</v>
      </c>
      <c r="AM118" s="179">
        <v>12181</v>
      </c>
      <c r="AN118" s="179">
        <v>12181</v>
      </c>
      <c r="AO118" s="179">
        <f t="shared" si="94"/>
        <v>3626.8186369999999</v>
      </c>
      <c r="AP118" s="163" t="str">
        <f t="shared" si="77"/>
        <v>Not Cost-Effective</v>
      </c>
      <c r="AQ118" s="163" t="str">
        <f t="shared" si="66"/>
        <v>Not Cost-Effective</v>
      </c>
      <c r="AR118" s="167">
        <f t="shared" si="50"/>
        <v>3.3585908806500933</v>
      </c>
      <c r="AS118" s="167">
        <f t="shared" si="83"/>
        <v>1.42</v>
      </c>
      <c r="AT118" s="159" t="str">
        <f t="shared" si="67"/>
        <v>Not Cost-Effective</v>
      </c>
      <c r="AU118" s="167">
        <f t="shared" si="84"/>
        <v>0.83</v>
      </c>
      <c r="AV118" s="162" t="str">
        <f t="shared" si="68"/>
        <v>Not Cost-Effective</v>
      </c>
      <c r="AW118" s="167">
        <f t="shared" si="85"/>
        <v>0.36702186686280114</v>
      </c>
      <c r="AX118" s="159" t="str">
        <f t="shared" si="69"/>
        <v>Not Cost-Effective</v>
      </c>
      <c r="AY118" s="167">
        <f t="shared" si="86"/>
        <v>8.1522984654243125E-2</v>
      </c>
      <c r="AZ118" s="159" t="str">
        <f t="shared" si="70"/>
        <v>Not Cost-Effective</v>
      </c>
      <c r="BA118" s="167">
        <f t="shared" si="87"/>
        <v>1.1990418097854487</v>
      </c>
      <c r="BB118" s="159" t="str">
        <f t="shared" si="71"/>
        <v>Not Cost-Effective</v>
      </c>
      <c r="BC118" s="167">
        <f t="shared" si="88"/>
        <v>0.49693704267921418</v>
      </c>
      <c r="BD118" s="159" t="str">
        <f t="shared" si="72"/>
        <v>Not Cost-Effective</v>
      </c>
      <c r="BE118" s="162" t="s">
        <v>173</v>
      </c>
      <c r="BF118" s="162" t="s">
        <v>161</v>
      </c>
      <c r="BG118" s="168" t="str">
        <f t="shared" si="89"/>
        <v>.</v>
      </c>
      <c r="BH118" s="168" t="str">
        <f t="shared" si="90"/>
        <v>.</v>
      </c>
      <c r="BI118" s="163" t="str">
        <f t="shared" si="91"/>
        <v>.</v>
      </c>
      <c r="BJ118" s="163" t="str">
        <f t="shared" si="92"/>
        <v>.</v>
      </c>
      <c r="BK118" s="163" t="str">
        <f t="shared" si="73"/>
        <v>.</v>
      </c>
      <c r="BL118" s="163" t="str">
        <f t="shared" si="74"/>
        <v>.</v>
      </c>
      <c r="BM118" s="163">
        <f t="shared" si="75"/>
        <v>0</v>
      </c>
      <c r="BN118" s="163" t="s">
        <v>148</v>
      </c>
      <c r="BP118" s="162" t="s">
        <v>1403</v>
      </c>
      <c r="BQ118" s="162" t="s">
        <v>1426</v>
      </c>
    </row>
    <row r="119" spans="1:69">
      <c r="A119" s="159">
        <f t="shared" si="61"/>
        <v>37</v>
      </c>
      <c r="B119" s="159">
        <f t="shared" si="62"/>
        <v>6</v>
      </c>
      <c r="C119" s="160" t="str">
        <f t="shared" si="49"/>
        <v>3706</v>
      </c>
      <c r="D119" s="159" t="s">
        <v>480</v>
      </c>
      <c r="E119" s="161">
        <v>2015</v>
      </c>
      <c r="F119" s="162" t="s">
        <v>481</v>
      </c>
      <c r="G119" s="162" t="s">
        <v>482</v>
      </c>
      <c r="H119" s="163" t="str">
        <f t="shared" si="93"/>
        <v>LM</v>
      </c>
      <c r="I119" s="163" t="s">
        <v>157</v>
      </c>
      <c r="J119" s="180" t="s">
        <v>371</v>
      </c>
      <c r="K119" s="163" t="s">
        <v>186</v>
      </c>
      <c r="L119" s="163" t="s">
        <v>183</v>
      </c>
      <c r="M119" s="163" t="str">
        <f t="shared" si="64"/>
        <v>PCV13 vs PCV10</v>
      </c>
      <c r="N119" s="159" t="s">
        <v>152</v>
      </c>
      <c r="O119" s="159">
        <v>3</v>
      </c>
      <c r="P119" s="162" t="s">
        <v>157</v>
      </c>
      <c r="Q119" s="162" t="s">
        <v>153</v>
      </c>
      <c r="R119" s="162" t="s">
        <v>154</v>
      </c>
      <c r="S119" s="162" t="s">
        <v>155</v>
      </c>
      <c r="T119" s="159">
        <v>2009</v>
      </c>
      <c r="U119" s="165">
        <v>20</v>
      </c>
      <c r="V119" s="165">
        <f>IF(ISNUMBER(U119),U119/VLOOKUP($S119,xRates!$A$1:$AA$267,data!$T119-xRates!$B$1+2,FALSE),U119)</f>
        <v>20</v>
      </c>
      <c r="W119" s="162" t="s">
        <v>332</v>
      </c>
      <c r="X119" s="159">
        <v>14.85</v>
      </c>
      <c r="Y119" s="165">
        <v>14.85</v>
      </c>
      <c r="Z119" s="162" t="s">
        <v>332</v>
      </c>
      <c r="AA119" s="163" t="s">
        <v>157</v>
      </c>
      <c r="AB119" s="162"/>
      <c r="AC119" s="162" t="str">
        <f t="shared" si="80"/>
        <v/>
      </c>
      <c r="AD119" s="163" t="s">
        <v>157</v>
      </c>
      <c r="AE119" s="162" t="str">
        <f t="shared" si="81"/>
        <v/>
      </c>
      <c r="AF119" s="163" t="s">
        <v>148</v>
      </c>
      <c r="AG119" s="163" t="s">
        <v>148</v>
      </c>
      <c r="AH119" s="163" t="s">
        <v>148</v>
      </c>
      <c r="AJ119" s="162" t="s">
        <v>483</v>
      </c>
      <c r="AK119" s="162" t="s">
        <v>491</v>
      </c>
      <c r="AL119" s="163" t="s">
        <v>247</v>
      </c>
      <c r="AM119" s="179">
        <v>3851</v>
      </c>
      <c r="AN119" s="179">
        <v>3851</v>
      </c>
      <c r="AO119" s="179">
        <f t="shared" si="94"/>
        <v>3626.8186369999999</v>
      </c>
      <c r="AP119" s="163" t="str">
        <f t="shared" si="77"/>
        <v>Not Cost-Effective</v>
      </c>
      <c r="AQ119" s="163" t="str">
        <f t="shared" si="66"/>
        <v>Cost-Effective</v>
      </c>
      <c r="AR119" s="167">
        <f t="shared" si="50"/>
        <v>1.061812123912939</v>
      </c>
      <c r="AS119" s="167">
        <f t="shared" si="83"/>
        <v>1.42</v>
      </c>
      <c r="AT119" s="159" t="str">
        <f t="shared" si="67"/>
        <v>Cost-Effective</v>
      </c>
      <c r="AU119" s="167">
        <f t="shared" si="84"/>
        <v>0.83</v>
      </c>
      <c r="AV119" s="162" t="str">
        <f t="shared" si="68"/>
        <v>Not Cost-Effective</v>
      </c>
      <c r="AW119" s="167">
        <f t="shared" si="85"/>
        <v>0.36702186686280114</v>
      </c>
      <c r="AX119" s="159" t="str">
        <f t="shared" si="69"/>
        <v>Not Cost-Effective</v>
      </c>
      <c r="AY119" s="167">
        <f t="shared" si="86"/>
        <v>8.1522984654243125E-2</v>
      </c>
      <c r="AZ119" s="159" t="str">
        <f t="shared" si="70"/>
        <v>Not Cost-Effective</v>
      </c>
      <c r="BA119" s="167">
        <f t="shared" si="87"/>
        <v>1.1990418097854487</v>
      </c>
      <c r="BB119" s="159" t="str">
        <f t="shared" si="71"/>
        <v>Cost-Effective</v>
      </c>
      <c r="BC119" s="167">
        <f t="shared" si="88"/>
        <v>0.49693704267921418</v>
      </c>
      <c r="BD119" s="159" t="str">
        <f t="shared" si="72"/>
        <v>Not Cost-Effective</v>
      </c>
      <c r="BE119" s="162" t="s">
        <v>173</v>
      </c>
      <c r="BF119" s="162" t="s">
        <v>174</v>
      </c>
      <c r="BG119" s="168">
        <f t="shared" si="89"/>
        <v>1</v>
      </c>
      <c r="BH119" s="168">
        <f t="shared" si="90"/>
        <v>0</v>
      </c>
      <c r="BI119" s="163">
        <f t="shared" si="91"/>
        <v>1</v>
      </c>
      <c r="BJ119" s="163">
        <f t="shared" si="92"/>
        <v>1</v>
      </c>
      <c r="BK119" s="163">
        <f t="shared" si="73"/>
        <v>1</v>
      </c>
      <c r="BL119" s="163">
        <f t="shared" si="74"/>
        <v>0</v>
      </c>
      <c r="BM119" s="163">
        <f t="shared" si="75"/>
        <v>4</v>
      </c>
      <c r="BN119" s="163" t="s">
        <v>148</v>
      </c>
      <c r="BP119" s="162" t="s">
        <v>1403</v>
      </c>
      <c r="BQ119" s="162" t="s">
        <v>1426</v>
      </c>
    </row>
    <row r="120" spans="1:69">
      <c r="A120" s="159">
        <f t="shared" si="61"/>
        <v>38</v>
      </c>
      <c r="B120" s="159">
        <f t="shared" si="62"/>
        <v>1</v>
      </c>
      <c r="C120" s="160" t="str">
        <f t="shared" si="49"/>
        <v>3801</v>
      </c>
      <c r="D120" s="159" t="s">
        <v>492</v>
      </c>
      <c r="E120" s="161">
        <v>2015</v>
      </c>
      <c r="F120" s="162" t="s">
        <v>493</v>
      </c>
      <c r="G120" s="162" t="s">
        <v>494</v>
      </c>
      <c r="H120" s="163" t="str">
        <f t="shared" si="93"/>
        <v>LM</v>
      </c>
      <c r="I120" s="163" t="s">
        <v>157</v>
      </c>
      <c r="J120" s="180" t="s">
        <v>352</v>
      </c>
      <c r="K120" s="163" t="s">
        <v>183</v>
      </c>
      <c r="L120" s="163" t="s">
        <v>151</v>
      </c>
      <c r="M120" s="163" t="str">
        <f t="shared" si="64"/>
        <v>PCV10 vs NoVax</v>
      </c>
      <c r="N120" s="159" t="s">
        <v>331</v>
      </c>
      <c r="O120" s="159">
        <v>3</v>
      </c>
      <c r="P120" s="162" t="s">
        <v>148</v>
      </c>
      <c r="Q120" s="162" t="s">
        <v>167</v>
      </c>
      <c r="R120" s="162" t="s">
        <v>154</v>
      </c>
      <c r="S120" s="162" t="s">
        <v>155</v>
      </c>
      <c r="T120" s="159">
        <v>2012</v>
      </c>
      <c r="U120" s="165">
        <v>3.5</v>
      </c>
      <c r="V120" s="165">
        <f>IF(ISNUMBER(U120),U120/VLOOKUP($S120,xRates!$A$1:$AA$267,data!$T120-xRates!$B$1+2,FALSE),U120)</f>
        <v>3.5</v>
      </c>
      <c r="W120" s="162" t="s">
        <v>495</v>
      </c>
      <c r="Y120" s="165"/>
      <c r="AA120" s="163" t="s">
        <v>148</v>
      </c>
      <c r="AB120" s="162"/>
      <c r="AC120" s="162" t="s">
        <v>157</v>
      </c>
      <c r="AD120" s="163" t="s">
        <v>148</v>
      </c>
      <c r="AE120" s="162" t="s">
        <v>496</v>
      </c>
      <c r="AF120" s="163" t="s">
        <v>148</v>
      </c>
      <c r="AG120" s="163" t="s">
        <v>148</v>
      </c>
      <c r="AH120" s="163" t="s">
        <v>148</v>
      </c>
      <c r="AJ120" s="162" t="s">
        <v>497</v>
      </c>
      <c r="AK120" s="162" t="s">
        <v>498</v>
      </c>
      <c r="AL120" s="163" t="s">
        <v>247</v>
      </c>
      <c r="AM120" s="179">
        <v>1599</v>
      </c>
      <c r="AN120" s="179">
        <v>1599</v>
      </c>
      <c r="AO120" s="179">
        <f t="shared" si="94"/>
        <v>4421.8182420000003</v>
      </c>
      <c r="AP120" s="163" t="str">
        <f t="shared" si="77"/>
        <v>Cost-Effective</v>
      </c>
      <c r="AQ120" s="163" t="str">
        <f t="shared" si="66"/>
        <v>Cost-Effective</v>
      </c>
      <c r="AR120" s="167">
        <f t="shared" si="50"/>
        <v>0.36161594902570399</v>
      </c>
      <c r="AS120" s="167">
        <f t="shared" si="83"/>
        <v>0.27</v>
      </c>
      <c r="AT120" s="159" t="str">
        <f t="shared" si="67"/>
        <v>Not Cost-Effective</v>
      </c>
      <c r="AU120" s="167">
        <f t="shared" si="84"/>
        <v>0.2</v>
      </c>
      <c r="AV120" s="162" t="str">
        <f t="shared" si="68"/>
        <v>Not Cost-Effective</v>
      </c>
      <c r="AW120" s="167">
        <f t="shared" si="85"/>
        <v>0.40010850728742287</v>
      </c>
      <c r="AX120" s="159" t="str">
        <f t="shared" si="69"/>
        <v>Cost-Effective</v>
      </c>
      <c r="AY120" s="167">
        <f t="shared" si="86"/>
        <v>7.9156601982268524E-2</v>
      </c>
      <c r="AZ120" s="159" t="str">
        <f t="shared" si="70"/>
        <v>Not Cost-Effective</v>
      </c>
      <c r="BA120" s="167">
        <f t="shared" si="87"/>
        <v>1.0336349293026446</v>
      </c>
      <c r="BB120" s="159" t="str">
        <f t="shared" si="71"/>
        <v>Cost-Effective</v>
      </c>
      <c r="BC120" s="167">
        <f t="shared" si="88"/>
        <v>0.42826883808832805</v>
      </c>
      <c r="BD120" s="159" t="str">
        <f t="shared" si="72"/>
        <v>Cost-Effective</v>
      </c>
      <c r="BE120" s="162" t="s">
        <v>160</v>
      </c>
      <c r="BF120" s="162" t="s">
        <v>174</v>
      </c>
      <c r="BG120" s="168">
        <f t="shared" si="89"/>
        <v>1</v>
      </c>
      <c r="BH120" s="168">
        <f t="shared" si="90"/>
        <v>1</v>
      </c>
      <c r="BI120" s="163">
        <f t="shared" si="91"/>
        <v>1</v>
      </c>
      <c r="BJ120" s="163">
        <f t="shared" si="92"/>
        <v>0</v>
      </c>
      <c r="BK120" s="163">
        <f t="shared" si="73"/>
        <v>0</v>
      </c>
      <c r="BL120" s="163">
        <f t="shared" si="74"/>
        <v>0</v>
      </c>
      <c r="BM120" s="163">
        <f t="shared" si="75"/>
        <v>3</v>
      </c>
      <c r="BN120" s="163" t="s">
        <v>157</v>
      </c>
      <c r="BO120" s="162" t="str">
        <f t="shared" ref="BO120:BO150" si="96">IF(BN120="No", "", "")</f>
        <v/>
      </c>
      <c r="BP120" s="162" t="s">
        <v>1415</v>
      </c>
      <c r="BQ120" s="162" t="s">
        <v>1426</v>
      </c>
    </row>
    <row r="121" spans="1:69">
      <c r="A121" s="159">
        <f t="shared" si="61"/>
        <v>38</v>
      </c>
      <c r="B121" s="159">
        <f t="shared" si="62"/>
        <v>2</v>
      </c>
      <c r="C121" s="160" t="str">
        <f t="shared" si="49"/>
        <v>3802</v>
      </c>
      <c r="D121" s="159" t="s">
        <v>492</v>
      </c>
      <c r="E121" s="161">
        <v>2015</v>
      </c>
      <c r="F121" s="162" t="s">
        <v>493</v>
      </c>
      <c r="G121" s="162" t="s">
        <v>494</v>
      </c>
      <c r="H121" s="163" t="str">
        <f t="shared" si="93"/>
        <v>LM</v>
      </c>
      <c r="I121" s="163" t="s">
        <v>157</v>
      </c>
      <c r="J121" s="180" t="s">
        <v>352</v>
      </c>
      <c r="K121" s="163" t="s">
        <v>183</v>
      </c>
      <c r="L121" s="163" t="s">
        <v>151</v>
      </c>
      <c r="M121" s="163" t="str">
        <f t="shared" si="64"/>
        <v>PCV10 vs NoVax</v>
      </c>
      <c r="N121" s="159" t="s">
        <v>331</v>
      </c>
      <c r="O121" s="159">
        <v>3</v>
      </c>
      <c r="P121" s="162" t="s">
        <v>148</v>
      </c>
      <c r="Q121" s="162" t="s">
        <v>167</v>
      </c>
      <c r="R121" s="162" t="s">
        <v>154</v>
      </c>
      <c r="S121" s="162" t="s">
        <v>155</v>
      </c>
      <c r="T121" s="159">
        <v>2012</v>
      </c>
      <c r="U121" s="165">
        <v>3.5</v>
      </c>
      <c r="V121" s="165">
        <f>IF(ISNUMBER(U121),U121/VLOOKUP($S121,xRates!$A$1:$AA$267,data!$T121-xRates!$B$1+2,FALSE),U121)</f>
        <v>3.5</v>
      </c>
      <c r="W121" s="162" t="s">
        <v>495</v>
      </c>
      <c r="Y121" s="165"/>
      <c r="AA121" s="163" t="s">
        <v>157</v>
      </c>
      <c r="AB121" s="162" t="s">
        <v>499</v>
      </c>
      <c r="AC121" s="162" t="s">
        <v>157</v>
      </c>
      <c r="AD121" s="163" t="s">
        <v>148</v>
      </c>
      <c r="AE121" s="162" t="s">
        <v>496</v>
      </c>
      <c r="AF121" s="163" t="s">
        <v>148</v>
      </c>
      <c r="AG121" s="163" t="s">
        <v>148</v>
      </c>
      <c r="AH121" s="163" t="s">
        <v>148</v>
      </c>
      <c r="AJ121" s="162" t="s">
        <v>497</v>
      </c>
      <c r="AK121" s="162" t="s">
        <v>500</v>
      </c>
      <c r="AL121" s="163" t="s">
        <v>159</v>
      </c>
      <c r="AM121" s="166">
        <v>2200</v>
      </c>
      <c r="AN121" s="166">
        <v>2200</v>
      </c>
      <c r="AO121" s="166">
        <f t="shared" ref="AO121" si="97">VLOOKUP(G121,gdppc,T121-1958,FALSE)</f>
        <v>4421.8182420000003</v>
      </c>
      <c r="AP121" s="163" t="str">
        <f t="shared" si="77"/>
        <v>Cost-Effective</v>
      </c>
      <c r="AQ121" s="163" t="str">
        <f t="shared" si="66"/>
        <v>Cost-Effective</v>
      </c>
      <c r="AR121" s="167">
        <f t="shared" si="50"/>
        <v>0.49753288796532125</v>
      </c>
      <c r="AS121" s="167">
        <f t="shared" si="83"/>
        <v>0.27</v>
      </c>
      <c r="AT121" s="159" t="str">
        <f t="shared" si="67"/>
        <v>Not Cost-Effective</v>
      </c>
      <c r="AU121" s="167">
        <f t="shared" si="84"/>
        <v>0.2</v>
      </c>
      <c r="AV121" s="162" t="str">
        <f t="shared" si="68"/>
        <v>Not Cost-Effective</v>
      </c>
      <c r="AW121" s="167">
        <f t="shared" si="85"/>
        <v>0.40010850728742287</v>
      </c>
      <c r="AX121" s="159" t="str">
        <f t="shared" si="69"/>
        <v>Not Cost-Effective</v>
      </c>
      <c r="AY121" s="167">
        <f t="shared" si="86"/>
        <v>7.9156601982268524E-2</v>
      </c>
      <c r="AZ121" s="159" t="str">
        <f t="shared" si="70"/>
        <v>Not Cost-Effective</v>
      </c>
      <c r="BA121" s="167">
        <f t="shared" si="87"/>
        <v>1.0336349293026446</v>
      </c>
      <c r="BB121" s="159" t="str">
        <f t="shared" si="71"/>
        <v>Cost-Effective</v>
      </c>
      <c r="BC121" s="167">
        <f t="shared" si="88"/>
        <v>0.42826883808832805</v>
      </c>
      <c r="BD121" s="159" t="str">
        <f t="shared" si="72"/>
        <v>Not Cost-Effective</v>
      </c>
      <c r="BE121" s="162" t="s">
        <v>160</v>
      </c>
      <c r="BF121" s="162" t="s">
        <v>174</v>
      </c>
      <c r="BG121" s="168">
        <f t="shared" si="89"/>
        <v>1</v>
      </c>
      <c r="BH121" s="168">
        <f t="shared" si="90"/>
        <v>1</v>
      </c>
      <c r="BI121" s="163">
        <f t="shared" si="91"/>
        <v>1</v>
      </c>
      <c r="BJ121" s="163">
        <f t="shared" si="92"/>
        <v>1</v>
      </c>
      <c r="BK121" s="163">
        <f t="shared" si="73"/>
        <v>1</v>
      </c>
      <c r="BL121" s="163">
        <f t="shared" si="74"/>
        <v>0</v>
      </c>
      <c r="BM121" s="163">
        <f t="shared" si="75"/>
        <v>5</v>
      </c>
      <c r="BN121" s="163" t="s">
        <v>157</v>
      </c>
      <c r="BO121" s="162" t="str">
        <f t="shared" si="96"/>
        <v/>
      </c>
      <c r="BP121" s="162" t="s">
        <v>1409</v>
      </c>
      <c r="BQ121" s="162" t="s">
        <v>1426</v>
      </c>
    </row>
    <row r="122" spans="1:69">
      <c r="A122" s="159">
        <f t="shared" si="61"/>
        <v>39</v>
      </c>
      <c r="B122" s="159">
        <f t="shared" si="62"/>
        <v>1</v>
      </c>
      <c r="C122" s="160" t="str">
        <f t="shared" si="49"/>
        <v>3901</v>
      </c>
      <c r="D122" s="159" t="s">
        <v>501</v>
      </c>
      <c r="E122" s="161">
        <v>2015</v>
      </c>
      <c r="F122" s="162" t="s">
        <v>502</v>
      </c>
      <c r="G122" s="162" t="s">
        <v>421</v>
      </c>
      <c r="H122" s="163" t="str">
        <f t="shared" si="93"/>
        <v>UM</v>
      </c>
      <c r="I122" s="163" t="s">
        <v>157</v>
      </c>
      <c r="J122" s="180" t="s">
        <v>353</v>
      </c>
      <c r="K122" s="163" t="s">
        <v>186</v>
      </c>
      <c r="L122" s="163" t="s">
        <v>151</v>
      </c>
      <c r="M122" s="163" t="str">
        <f t="shared" si="64"/>
        <v>PCV13 vs NoVax</v>
      </c>
      <c r="N122" s="159" t="s">
        <v>198</v>
      </c>
      <c r="O122" s="159">
        <v>4</v>
      </c>
      <c r="P122" s="162" t="s">
        <v>148</v>
      </c>
      <c r="Q122" s="162" t="s">
        <v>167</v>
      </c>
      <c r="R122" s="162" t="s">
        <v>154</v>
      </c>
      <c r="S122" s="162" t="s">
        <v>155</v>
      </c>
      <c r="T122" s="159">
        <v>2013</v>
      </c>
      <c r="U122" s="165">
        <v>15.68</v>
      </c>
      <c r="V122" s="165">
        <f>IF(ISNUMBER(U122),U122/VLOOKUP($S122,xRates!$A$1:$AA$267,data!$T122-xRates!$B$1+2,FALSE),U122)</f>
        <v>15.68</v>
      </c>
      <c r="W122" s="162" t="s">
        <v>332</v>
      </c>
      <c r="Y122" s="165"/>
      <c r="AA122" s="163" t="s">
        <v>157</v>
      </c>
      <c r="AB122" s="162"/>
      <c r="AC122" s="162" t="str">
        <f t="shared" ref="AC122:AC132" si="98">IF(AA122="No","","")</f>
        <v/>
      </c>
      <c r="AD122" s="163" t="s">
        <v>157</v>
      </c>
      <c r="AE122" s="162" t="str">
        <f t="shared" ref="AE122:AE133" si="99">IF(AD122="No", "", "")</f>
        <v/>
      </c>
      <c r="AF122" s="163" t="s">
        <v>148</v>
      </c>
      <c r="AG122" s="163" t="s">
        <v>148</v>
      </c>
      <c r="AH122" s="163" t="s">
        <v>148</v>
      </c>
      <c r="AJ122" s="169"/>
      <c r="AK122" s="162" t="s">
        <v>503</v>
      </c>
      <c r="AL122" s="163" t="s">
        <v>469</v>
      </c>
      <c r="AM122" s="179">
        <v>489.26</v>
      </c>
      <c r="AN122" s="179">
        <v>489.26</v>
      </c>
      <c r="AO122" s="179">
        <f t="shared" si="94"/>
        <v>8218.3478443147796</v>
      </c>
      <c r="AP122" s="163" t="str">
        <f t="shared" si="77"/>
        <v>Cost-Effective</v>
      </c>
      <c r="AQ122" s="163" t="str">
        <f t="shared" si="66"/>
        <v>Cost-Effective</v>
      </c>
      <c r="AR122" s="167">
        <f t="shared" si="50"/>
        <v>5.9532646861431671E-2</v>
      </c>
      <c r="AS122" s="167">
        <f t="shared" si="83"/>
        <v>1.89</v>
      </c>
      <c r="AT122" s="159" t="str">
        <f t="shared" si="67"/>
        <v>Cost-Effective</v>
      </c>
      <c r="AU122" s="167">
        <f t="shared" si="84"/>
        <v>1.17</v>
      </c>
      <c r="AV122" s="162" t="str">
        <f t="shared" si="68"/>
        <v>Cost-Effective</v>
      </c>
      <c r="AW122" s="167">
        <f t="shared" si="85"/>
        <v>0.67142448878179284</v>
      </c>
      <c r="AX122" s="159" t="str">
        <f t="shared" si="69"/>
        <v>Cost-Effective</v>
      </c>
      <c r="AY122" s="167">
        <f t="shared" si="86"/>
        <v>0.16670017209696561</v>
      </c>
      <c r="AZ122" s="159" t="str">
        <f t="shared" si="70"/>
        <v>Cost-Effective</v>
      </c>
      <c r="BA122" s="167">
        <f t="shared" si="87"/>
        <v>1.3237396338136047</v>
      </c>
      <c r="BB122" s="159" t="str">
        <f t="shared" si="71"/>
        <v>Cost-Effective</v>
      </c>
      <c r="BC122" s="167">
        <f t="shared" si="88"/>
        <v>0.54863988350299309</v>
      </c>
      <c r="BD122" s="159" t="str">
        <f t="shared" si="72"/>
        <v>Cost-Effective</v>
      </c>
      <c r="BE122" s="162" t="s">
        <v>160</v>
      </c>
      <c r="BF122" s="162" t="s">
        <v>174</v>
      </c>
      <c r="BG122" s="168">
        <f t="shared" si="89"/>
        <v>0</v>
      </c>
      <c r="BH122" s="168">
        <f t="shared" si="90"/>
        <v>0</v>
      </c>
      <c r="BI122" s="163">
        <f t="shared" si="91"/>
        <v>0</v>
      </c>
      <c r="BJ122" s="163">
        <f t="shared" si="92"/>
        <v>0</v>
      </c>
      <c r="BK122" s="163">
        <f t="shared" si="73"/>
        <v>0</v>
      </c>
      <c r="BL122" s="163">
        <f t="shared" si="74"/>
        <v>0</v>
      </c>
      <c r="BM122" s="163">
        <f t="shared" si="75"/>
        <v>0</v>
      </c>
      <c r="BN122" s="163" t="s">
        <v>157</v>
      </c>
      <c r="BO122" s="162" t="str">
        <f t="shared" si="96"/>
        <v/>
      </c>
      <c r="BP122" s="162" t="s">
        <v>279</v>
      </c>
      <c r="BQ122" s="162" t="s">
        <v>1425</v>
      </c>
    </row>
    <row r="123" spans="1:69">
      <c r="A123" s="159">
        <f t="shared" si="61"/>
        <v>39</v>
      </c>
      <c r="B123" s="159">
        <f t="shared" si="62"/>
        <v>2</v>
      </c>
      <c r="C123" s="160" t="str">
        <f t="shared" si="49"/>
        <v>3902</v>
      </c>
      <c r="D123" s="159" t="s">
        <v>501</v>
      </c>
      <c r="E123" s="161">
        <v>2015</v>
      </c>
      <c r="F123" s="162" t="s">
        <v>502</v>
      </c>
      <c r="G123" s="162" t="s">
        <v>421</v>
      </c>
      <c r="H123" s="163" t="str">
        <f t="shared" si="93"/>
        <v>UM</v>
      </c>
      <c r="I123" s="163" t="s">
        <v>157</v>
      </c>
      <c r="J123" s="180" t="s">
        <v>352</v>
      </c>
      <c r="K123" s="163" t="s">
        <v>183</v>
      </c>
      <c r="L123" s="163" t="s">
        <v>151</v>
      </c>
      <c r="M123" s="163" t="str">
        <f t="shared" si="64"/>
        <v>PCV10 vs NoVax</v>
      </c>
      <c r="N123" s="159" t="s">
        <v>198</v>
      </c>
      <c r="O123" s="159">
        <v>4</v>
      </c>
      <c r="P123" s="162" t="s">
        <v>148</v>
      </c>
      <c r="Q123" s="162" t="s">
        <v>167</v>
      </c>
      <c r="R123" s="162" t="s">
        <v>154</v>
      </c>
      <c r="S123" s="162" t="s">
        <v>155</v>
      </c>
      <c r="T123" s="159">
        <v>2013</v>
      </c>
      <c r="U123" s="165">
        <v>14.12</v>
      </c>
      <c r="V123" s="165">
        <f>IF(ISNUMBER(U123),U123/VLOOKUP($S123,xRates!$A$1:$AA$267,data!$T123-xRates!$B$1+2,FALSE),U123)</f>
        <v>14.12</v>
      </c>
      <c r="W123" s="162" t="s">
        <v>332</v>
      </c>
      <c r="Y123" s="165"/>
      <c r="AA123" s="163" t="s">
        <v>157</v>
      </c>
      <c r="AB123" s="162"/>
      <c r="AC123" s="162" t="str">
        <f t="shared" si="98"/>
        <v/>
      </c>
      <c r="AD123" s="163" t="s">
        <v>157</v>
      </c>
      <c r="AE123" s="162" t="str">
        <f t="shared" si="99"/>
        <v/>
      </c>
      <c r="AF123" s="163" t="s">
        <v>148</v>
      </c>
      <c r="AG123" s="163" t="s">
        <v>148</v>
      </c>
      <c r="AH123" s="163" t="s">
        <v>148</v>
      </c>
      <c r="AJ123" s="169"/>
      <c r="AK123" s="162" t="s">
        <v>504</v>
      </c>
      <c r="AL123" s="163" t="s">
        <v>469</v>
      </c>
      <c r="AM123" s="179">
        <v>813.41</v>
      </c>
      <c r="AN123" s="179">
        <v>813.41</v>
      </c>
      <c r="AO123" s="179">
        <f t="shared" si="94"/>
        <v>8218.3478443147796</v>
      </c>
      <c r="AP123" s="163" t="str">
        <f t="shared" si="77"/>
        <v>Cost-Effective</v>
      </c>
      <c r="AQ123" s="163" t="str">
        <f t="shared" si="66"/>
        <v>Cost-Effective</v>
      </c>
      <c r="AR123" s="167">
        <f t="shared" si="50"/>
        <v>9.897488101123561E-2</v>
      </c>
      <c r="AS123" s="167">
        <f t="shared" si="83"/>
        <v>1.89</v>
      </c>
      <c r="AT123" s="159" t="str">
        <f t="shared" si="67"/>
        <v>Cost-Effective</v>
      </c>
      <c r="AU123" s="167">
        <f t="shared" si="84"/>
        <v>1.17</v>
      </c>
      <c r="AV123" s="162" t="str">
        <f t="shared" si="68"/>
        <v>Cost-Effective</v>
      </c>
      <c r="AW123" s="167">
        <f t="shared" si="85"/>
        <v>0.67142448878179284</v>
      </c>
      <c r="AX123" s="159" t="str">
        <f t="shared" si="69"/>
        <v>Cost-Effective</v>
      </c>
      <c r="AY123" s="167">
        <f t="shared" si="86"/>
        <v>0.16670017209696561</v>
      </c>
      <c r="AZ123" s="159" t="str">
        <f t="shared" si="70"/>
        <v>Cost-Effective</v>
      </c>
      <c r="BA123" s="167">
        <f t="shared" si="87"/>
        <v>1.3237396338136047</v>
      </c>
      <c r="BB123" s="159" t="str">
        <f t="shared" si="71"/>
        <v>Cost-Effective</v>
      </c>
      <c r="BC123" s="167">
        <f t="shared" si="88"/>
        <v>0.54863988350299309</v>
      </c>
      <c r="BD123" s="159" t="str">
        <f t="shared" si="72"/>
        <v>Cost-Effective</v>
      </c>
      <c r="BE123" s="162" t="s">
        <v>160</v>
      </c>
      <c r="BF123" s="162" t="s">
        <v>174</v>
      </c>
      <c r="BG123" s="168">
        <f t="shared" si="89"/>
        <v>0</v>
      </c>
      <c r="BH123" s="168">
        <f t="shared" si="90"/>
        <v>0</v>
      </c>
      <c r="BI123" s="163">
        <f t="shared" si="91"/>
        <v>0</v>
      </c>
      <c r="BJ123" s="163">
        <f t="shared" si="92"/>
        <v>0</v>
      </c>
      <c r="BK123" s="163">
        <f t="shared" si="73"/>
        <v>0</v>
      </c>
      <c r="BL123" s="163">
        <f t="shared" si="74"/>
        <v>0</v>
      </c>
      <c r="BM123" s="163">
        <f t="shared" si="75"/>
        <v>0</v>
      </c>
      <c r="BN123" s="163" t="s">
        <v>157</v>
      </c>
      <c r="BO123" s="162" t="str">
        <f t="shared" si="96"/>
        <v/>
      </c>
      <c r="BP123" s="162" t="s">
        <v>279</v>
      </c>
      <c r="BQ123" s="162" t="s">
        <v>1425</v>
      </c>
    </row>
    <row r="124" spans="1:69" s="173" customFormat="1">
      <c r="A124" s="159">
        <f t="shared" si="61"/>
        <v>39</v>
      </c>
      <c r="B124" s="159">
        <f t="shared" si="62"/>
        <v>3</v>
      </c>
      <c r="C124" s="160" t="str">
        <f t="shared" si="49"/>
        <v>3903</v>
      </c>
      <c r="D124" s="171" t="s">
        <v>501</v>
      </c>
      <c r="E124" s="172">
        <v>2015</v>
      </c>
      <c r="F124" s="173" t="s">
        <v>502</v>
      </c>
      <c r="G124" s="173" t="s">
        <v>421</v>
      </c>
      <c r="H124" s="174" t="str">
        <f t="shared" si="93"/>
        <v>UM</v>
      </c>
      <c r="I124" s="174" t="s">
        <v>157</v>
      </c>
      <c r="J124" s="173" t="s">
        <v>460</v>
      </c>
      <c r="K124" s="174" t="s">
        <v>186</v>
      </c>
      <c r="L124" s="174" t="s">
        <v>183</v>
      </c>
      <c r="M124" s="163" t="str">
        <f t="shared" si="64"/>
        <v>PCV13 vs PCV10</v>
      </c>
      <c r="N124" s="171" t="s">
        <v>198</v>
      </c>
      <c r="O124" s="171">
        <v>4</v>
      </c>
      <c r="P124" s="173" t="s">
        <v>148</v>
      </c>
      <c r="Q124" s="175" t="s">
        <v>167</v>
      </c>
      <c r="R124" s="173" t="s">
        <v>154</v>
      </c>
      <c r="S124" s="173" t="s">
        <v>155</v>
      </c>
      <c r="T124" s="172">
        <v>2013</v>
      </c>
      <c r="U124" s="176">
        <v>15.68</v>
      </c>
      <c r="V124" s="176">
        <f>IF(ISNUMBER(U124),U124/VLOOKUP($S124,xRates!$A$1:$AA$267,data!$T124-xRates!$B$1+2,FALSE),U124)</f>
        <v>15.68</v>
      </c>
      <c r="W124" s="173" t="s">
        <v>332</v>
      </c>
      <c r="X124" s="171">
        <v>14.12</v>
      </c>
      <c r="Y124" s="176">
        <v>14.12</v>
      </c>
      <c r="Z124" s="173" t="s">
        <v>332</v>
      </c>
      <c r="AA124" s="174" t="s">
        <v>157</v>
      </c>
      <c r="AC124" s="173" t="str">
        <f t="shared" si="98"/>
        <v/>
      </c>
      <c r="AD124" s="174" t="s">
        <v>157</v>
      </c>
      <c r="AE124" s="173" t="str">
        <f t="shared" si="99"/>
        <v/>
      </c>
      <c r="AF124" s="174" t="s">
        <v>148</v>
      </c>
      <c r="AG124" s="174" t="s">
        <v>148</v>
      </c>
      <c r="AH124" s="174" t="s">
        <v>148</v>
      </c>
      <c r="AI124" s="174"/>
      <c r="AJ124" s="169"/>
      <c r="AK124" s="173" t="s">
        <v>505</v>
      </c>
      <c r="AL124" s="163" t="s">
        <v>469</v>
      </c>
      <c r="AM124" s="177">
        <v>-417.53</v>
      </c>
      <c r="AN124" s="177">
        <f>AM124</f>
        <v>-417.53</v>
      </c>
      <c r="AO124" s="177">
        <f t="shared" si="94"/>
        <v>8218.3478443147796</v>
      </c>
      <c r="AP124" s="174" t="str">
        <f t="shared" si="77"/>
        <v>Cost-Saving</v>
      </c>
      <c r="AQ124" s="174" t="str">
        <f t="shared" si="66"/>
        <v>Cost-Saving</v>
      </c>
      <c r="AR124" s="167">
        <f t="shared" si="50"/>
        <v>-5.08046152230993E-2</v>
      </c>
      <c r="AS124" s="167">
        <f t="shared" si="83"/>
        <v>1.89</v>
      </c>
      <c r="AT124" s="159" t="str">
        <f t="shared" si="67"/>
        <v>Cost-Saving</v>
      </c>
      <c r="AU124" s="167">
        <f t="shared" si="84"/>
        <v>1.17</v>
      </c>
      <c r="AV124" s="162" t="str">
        <f t="shared" si="68"/>
        <v>Cost-Saving</v>
      </c>
      <c r="AW124" s="167">
        <f t="shared" si="85"/>
        <v>0.67142448878179284</v>
      </c>
      <c r="AX124" s="159" t="str">
        <f t="shared" si="69"/>
        <v>Cost-Saving</v>
      </c>
      <c r="AY124" s="167">
        <f t="shared" si="86"/>
        <v>0.16670017209696561</v>
      </c>
      <c r="AZ124" s="159" t="str">
        <f t="shared" si="70"/>
        <v>Cost-Saving</v>
      </c>
      <c r="BA124" s="167">
        <f t="shared" si="87"/>
        <v>1.3237396338136047</v>
      </c>
      <c r="BB124" s="159" t="str">
        <f t="shared" si="71"/>
        <v>Cost-Saving</v>
      </c>
      <c r="BC124" s="167">
        <f t="shared" si="88"/>
        <v>0.54863988350299309</v>
      </c>
      <c r="BD124" s="159" t="str">
        <f t="shared" si="72"/>
        <v>Cost-Saving</v>
      </c>
      <c r="BE124" s="173" t="s">
        <v>210</v>
      </c>
      <c r="BF124" s="181" t="s">
        <v>239</v>
      </c>
      <c r="BG124" s="178" t="str">
        <f t="shared" si="89"/>
        <v>.</v>
      </c>
      <c r="BH124" s="178" t="str">
        <f t="shared" si="90"/>
        <v>.</v>
      </c>
      <c r="BI124" s="174" t="str">
        <f t="shared" si="91"/>
        <v>.</v>
      </c>
      <c r="BJ124" s="174" t="str">
        <f t="shared" si="92"/>
        <v>.</v>
      </c>
      <c r="BK124" s="163" t="str">
        <f t="shared" si="73"/>
        <v>.</v>
      </c>
      <c r="BL124" s="163" t="str">
        <f t="shared" si="74"/>
        <v>.</v>
      </c>
      <c r="BM124" s="163">
        <f t="shared" si="75"/>
        <v>0</v>
      </c>
      <c r="BN124" s="174" t="s">
        <v>157</v>
      </c>
      <c r="BO124" s="173" t="str">
        <f t="shared" si="96"/>
        <v/>
      </c>
      <c r="BP124" s="173" t="s">
        <v>279</v>
      </c>
      <c r="BQ124" s="162" t="s">
        <v>1425</v>
      </c>
    </row>
    <row r="125" spans="1:69">
      <c r="A125" s="159">
        <f t="shared" si="61"/>
        <v>40</v>
      </c>
      <c r="B125" s="159">
        <f t="shared" si="62"/>
        <v>1</v>
      </c>
      <c r="C125" s="160" t="str">
        <f t="shared" si="49"/>
        <v>4001</v>
      </c>
      <c r="D125" s="159" t="s">
        <v>506</v>
      </c>
      <c r="E125" s="161">
        <v>2010</v>
      </c>
      <c r="F125" s="162" t="s">
        <v>507</v>
      </c>
      <c r="G125" s="162" t="s">
        <v>330</v>
      </c>
      <c r="H125" s="163" t="str">
        <f t="shared" si="93"/>
        <v>LM</v>
      </c>
      <c r="I125" s="163" t="s">
        <v>157</v>
      </c>
      <c r="J125" s="180" t="s">
        <v>352</v>
      </c>
      <c r="K125" s="163" t="s">
        <v>183</v>
      </c>
      <c r="L125" s="163" t="s">
        <v>151</v>
      </c>
      <c r="M125" s="163" t="str">
        <f t="shared" si="64"/>
        <v>PCV10 vs NoVax</v>
      </c>
      <c r="N125" s="159" t="s">
        <v>331</v>
      </c>
      <c r="O125" s="159">
        <v>3</v>
      </c>
      <c r="P125" s="162" t="s">
        <v>148</v>
      </c>
      <c r="Q125" s="162" t="s">
        <v>153</v>
      </c>
      <c r="R125" s="162" t="s">
        <v>338</v>
      </c>
      <c r="S125" s="162" t="s">
        <v>330</v>
      </c>
      <c r="T125" s="159">
        <v>2004</v>
      </c>
      <c r="U125" s="165">
        <v>31</v>
      </c>
      <c r="V125" s="165">
        <f>IF(ISNUMBER(U125),U125/VLOOKUP($S125,xRates!$A$1:$AA$267,data!$T125-xRates!$B$1+2,FALSE),U125)</f>
        <v>10.597857808894213</v>
      </c>
      <c r="W125" s="162" t="s">
        <v>508</v>
      </c>
      <c r="Y125" s="165"/>
      <c r="AA125" s="163" t="s">
        <v>157</v>
      </c>
      <c r="AB125" s="162"/>
      <c r="AC125" s="162" t="str">
        <f t="shared" si="98"/>
        <v/>
      </c>
      <c r="AD125" s="163" t="s">
        <v>157</v>
      </c>
      <c r="AE125" s="162" t="str">
        <f t="shared" si="99"/>
        <v/>
      </c>
      <c r="AF125" s="163" t="s">
        <v>148</v>
      </c>
      <c r="AG125" s="163" t="s">
        <v>148</v>
      </c>
      <c r="AH125" s="163" t="s">
        <v>148</v>
      </c>
      <c r="AJ125" s="162"/>
      <c r="AK125" s="162" t="s">
        <v>509</v>
      </c>
      <c r="AL125" s="163" t="s">
        <v>247</v>
      </c>
      <c r="AM125" s="179">
        <v>22066</v>
      </c>
      <c r="AN125" s="179">
        <f>AM125/xRates!$J$28</f>
        <v>7543.6235616470876</v>
      </c>
      <c r="AO125" s="179">
        <f t="shared" si="94"/>
        <v>3637.3138899999999</v>
      </c>
      <c r="AP125" s="163" t="str">
        <f t="shared" si="77"/>
        <v>Not Cost-Effective</v>
      </c>
      <c r="AQ125" s="163" t="str">
        <f t="shared" si="66"/>
        <v>Cost-Effective</v>
      </c>
      <c r="AR125" s="167">
        <f t="shared" si="50"/>
        <v>2.0739545141777929</v>
      </c>
      <c r="AS125" s="167">
        <f t="shared" si="83"/>
        <v>1.0900000000000001</v>
      </c>
      <c r="AT125" s="159" t="str">
        <f t="shared" si="67"/>
        <v>Not Cost-Effective</v>
      </c>
      <c r="AU125" s="167">
        <f t="shared" si="84"/>
        <v>0.71</v>
      </c>
      <c r="AV125" s="162" t="str">
        <f t="shared" si="68"/>
        <v>Not Cost-Effective</v>
      </c>
      <c r="AW125" s="167">
        <f t="shared" si="85"/>
        <v>0.61331405073457201</v>
      </c>
      <c r="AX125" s="159" t="str">
        <f t="shared" si="69"/>
        <v>Not Cost-Effective</v>
      </c>
      <c r="AY125" s="167">
        <f t="shared" si="86"/>
        <v>0.19454672897770822</v>
      </c>
      <c r="AZ125" s="159" t="str">
        <f t="shared" si="70"/>
        <v>Not Cost-Effective</v>
      </c>
      <c r="BA125" s="167">
        <f t="shared" si="87"/>
        <v>1.6739433928535268</v>
      </c>
      <c r="BB125" s="159" t="str">
        <f t="shared" si="71"/>
        <v>Not Cost-Effective</v>
      </c>
      <c r="BC125" s="167">
        <f t="shared" si="88"/>
        <v>0.69378626051328196</v>
      </c>
      <c r="BD125" s="159" t="str">
        <f t="shared" si="72"/>
        <v>Not Cost-Effective</v>
      </c>
      <c r="BE125" s="162" t="s">
        <v>173</v>
      </c>
      <c r="BF125" s="162" t="s">
        <v>174</v>
      </c>
      <c r="BG125" s="168">
        <f t="shared" si="89"/>
        <v>1</v>
      </c>
      <c r="BH125" s="168">
        <f t="shared" si="90"/>
        <v>1</v>
      </c>
      <c r="BI125" s="163">
        <f t="shared" si="91"/>
        <v>1</v>
      </c>
      <c r="BJ125" s="163">
        <f t="shared" si="92"/>
        <v>1</v>
      </c>
      <c r="BK125" s="163">
        <f t="shared" si="73"/>
        <v>1</v>
      </c>
      <c r="BL125" s="163">
        <f t="shared" si="74"/>
        <v>1</v>
      </c>
      <c r="BM125" s="163">
        <f t="shared" si="75"/>
        <v>6</v>
      </c>
      <c r="BN125" s="163" t="s">
        <v>157</v>
      </c>
      <c r="BO125" s="162" t="str">
        <f t="shared" si="96"/>
        <v/>
      </c>
      <c r="BP125" s="162" t="s">
        <v>1416</v>
      </c>
      <c r="BQ125" s="162" t="s">
        <v>1427</v>
      </c>
    </row>
    <row r="126" spans="1:69">
      <c r="A126" s="159">
        <f t="shared" si="61"/>
        <v>40</v>
      </c>
      <c r="B126" s="159">
        <f t="shared" si="62"/>
        <v>2</v>
      </c>
      <c r="C126" s="160" t="str">
        <f t="shared" si="49"/>
        <v>4002</v>
      </c>
      <c r="D126" s="159" t="s">
        <v>506</v>
      </c>
      <c r="E126" s="161">
        <v>2010</v>
      </c>
      <c r="F126" s="162" t="s">
        <v>507</v>
      </c>
      <c r="G126" s="162" t="s">
        <v>330</v>
      </c>
      <c r="H126" s="163" t="str">
        <f t="shared" si="93"/>
        <v>LM</v>
      </c>
      <c r="I126" s="163" t="s">
        <v>157</v>
      </c>
      <c r="J126" s="180" t="s">
        <v>352</v>
      </c>
      <c r="K126" s="163" t="s">
        <v>183</v>
      </c>
      <c r="L126" s="163" t="s">
        <v>151</v>
      </c>
      <c r="M126" s="163" t="str">
        <f t="shared" si="64"/>
        <v>PCV10 vs NoVax</v>
      </c>
      <c r="N126" s="159" t="s">
        <v>331</v>
      </c>
      <c r="O126" s="159">
        <v>3</v>
      </c>
      <c r="P126" s="162" t="s">
        <v>157</v>
      </c>
      <c r="Q126" s="162" t="s">
        <v>167</v>
      </c>
      <c r="R126" s="162" t="s">
        <v>338</v>
      </c>
      <c r="S126" s="162" t="s">
        <v>330</v>
      </c>
      <c r="T126" s="159">
        <v>2004</v>
      </c>
      <c r="U126" s="165">
        <v>31</v>
      </c>
      <c r="V126" s="165">
        <f>IF(ISNUMBER(U126),U126/VLOOKUP($S126,xRates!$A$1:$AA$267,data!$T126-xRates!$B$1+2,FALSE),U126)</f>
        <v>10.597857808894213</v>
      </c>
      <c r="W126" s="162" t="s">
        <v>508</v>
      </c>
      <c r="Y126" s="165"/>
      <c r="AA126" s="163" t="s">
        <v>157</v>
      </c>
      <c r="AB126" s="162"/>
      <c r="AC126" s="162" t="str">
        <f t="shared" si="98"/>
        <v/>
      </c>
      <c r="AD126" s="163" t="s">
        <v>157</v>
      </c>
      <c r="AE126" s="162" t="str">
        <f t="shared" si="99"/>
        <v/>
      </c>
      <c r="AF126" s="163" t="s">
        <v>148</v>
      </c>
      <c r="AG126" s="163" t="s">
        <v>148</v>
      </c>
      <c r="AH126" s="163" t="s">
        <v>148</v>
      </c>
      <c r="AJ126" s="162"/>
      <c r="AK126" s="162" t="s">
        <v>510</v>
      </c>
      <c r="AL126" s="163" t="s">
        <v>247</v>
      </c>
      <c r="AM126" s="179">
        <v>24930</v>
      </c>
      <c r="AN126" s="179">
        <f>AM126/xRates!$J$28</f>
        <v>8522.72887663654</v>
      </c>
      <c r="AO126" s="179">
        <f t="shared" si="94"/>
        <v>3637.3138899999999</v>
      </c>
      <c r="AP126" s="163" t="str">
        <f t="shared" si="77"/>
        <v>Not Cost-Effective</v>
      </c>
      <c r="AQ126" s="163" t="str">
        <f t="shared" si="66"/>
        <v>Cost-Effective</v>
      </c>
      <c r="AR126" s="167">
        <f t="shared" si="50"/>
        <v>2.3431381328039689</v>
      </c>
      <c r="AS126" s="167">
        <f t="shared" si="83"/>
        <v>1.0900000000000001</v>
      </c>
      <c r="AT126" s="159" t="str">
        <f t="shared" si="67"/>
        <v>Not Cost-Effective</v>
      </c>
      <c r="AU126" s="167">
        <f t="shared" si="84"/>
        <v>0.71</v>
      </c>
      <c r="AV126" s="162" t="str">
        <f t="shared" si="68"/>
        <v>Not Cost-Effective</v>
      </c>
      <c r="AW126" s="167">
        <f t="shared" si="85"/>
        <v>0.61331405073457201</v>
      </c>
      <c r="AX126" s="159" t="str">
        <f t="shared" si="69"/>
        <v>Not Cost-Effective</v>
      </c>
      <c r="AY126" s="167">
        <f t="shared" si="86"/>
        <v>0.19454672897770822</v>
      </c>
      <c r="AZ126" s="159" t="str">
        <f t="shared" si="70"/>
        <v>Not Cost-Effective</v>
      </c>
      <c r="BA126" s="167">
        <f t="shared" si="87"/>
        <v>1.6739433928535268</v>
      </c>
      <c r="BB126" s="159" t="str">
        <f t="shared" si="71"/>
        <v>Not Cost-Effective</v>
      </c>
      <c r="BC126" s="167">
        <f t="shared" si="88"/>
        <v>0.69378626051328196</v>
      </c>
      <c r="BD126" s="159" t="str">
        <f t="shared" si="72"/>
        <v>Not Cost-Effective</v>
      </c>
      <c r="BE126" s="162" t="s">
        <v>173</v>
      </c>
      <c r="BF126" s="162" t="s">
        <v>174</v>
      </c>
      <c r="BG126" s="168">
        <f t="shared" si="89"/>
        <v>1</v>
      </c>
      <c r="BH126" s="168">
        <f t="shared" si="90"/>
        <v>1</v>
      </c>
      <c r="BI126" s="163">
        <f t="shared" si="91"/>
        <v>1</v>
      </c>
      <c r="BJ126" s="163">
        <f t="shared" si="92"/>
        <v>1</v>
      </c>
      <c r="BK126" s="163">
        <f t="shared" si="73"/>
        <v>1</v>
      </c>
      <c r="BL126" s="163">
        <f t="shared" si="74"/>
        <v>1</v>
      </c>
      <c r="BM126" s="163">
        <f t="shared" si="75"/>
        <v>6</v>
      </c>
      <c r="BN126" s="163" t="s">
        <v>157</v>
      </c>
      <c r="BO126" s="162" t="str">
        <f t="shared" si="96"/>
        <v/>
      </c>
      <c r="BP126" s="162" t="s">
        <v>1416</v>
      </c>
      <c r="BQ126" s="162" t="s">
        <v>1427</v>
      </c>
    </row>
    <row r="127" spans="1:69">
      <c r="A127" s="159">
        <f t="shared" si="61"/>
        <v>41</v>
      </c>
      <c r="B127" s="159">
        <f t="shared" si="62"/>
        <v>1</v>
      </c>
      <c r="C127" s="160" t="str">
        <f t="shared" si="49"/>
        <v>4101</v>
      </c>
      <c r="D127" s="159" t="s">
        <v>511</v>
      </c>
      <c r="E127" s="161">
        <v>2013</v>
      </c>
      <c r="F127" s="162" t="s">
        <v>512</v>
      </c>
      <c r="G127" s="162" t="s">
        <v>455</v>
      </c>
      <c r="H127" s="163" t="str">
        <f t="shared" si="93"/>
        <v>UM</v>
      </c>
      <c r="I127" s="163" t="s">
        <v>157</v>
      </c>
      <c r="J127" s="180" t="s">
        <v>513</v>
      </c>
      <c r="K127" s="163" t="s">
        <v>150</v>
      </c>
      <c r="L127" s="163" t="s">
        <v>151</v>
      </c>
      <c r="M127" s="163" t="str">
        <f t="shared" si="64"/>
        <v>PCV7 vs NoVax</v>
      </c>
      <c r="N127" s="159" t="s">
        <v>166</v>
      </c>
      <c r="O127" s="159">
        <v>4</v>
      </c>
      <c r="P127" s="162" t="s">
        <v>148</v>
      </c>
      <c r="Q127" s="162" t="s">
        <v>167</v>
      </c>
      <c r="R127" s="162" t="s">
        <v>154</v>
      </c>
      <c r="S127" s="162" t="s">
        <v>155</v>
      </c>
      <c r="T127" s="159">
        <v>2011</v>
      </c>
      <c r="U127" s="165">
        <v>30</v>
      </c>
      <c r="V127" s="165">
        <f>IF(ISNUMBER(U127),U127/VLOOKUP($S127,xRates!$A$1:$AA$267,data!$T127-xRates!$B$1+2,FALSE),U127)</f>
        <v>30</v>
      </c>
      <c r="W127" s="162" t="s">
        <v>177</v>
      </c>
      <c r="Y127" s="165"/>
      <c r="AA127" s="163" t="s">
        <v>157</v>
      </c>
      <c r="AB127" s="162"/>
      <c r="AC127" s="162" t="str">
        <f t="shared" si="98"/>
        <v/>
      </c>
      <c r="AD127" s="163" t="s">
        <v>157</v>
      </c>
      <c r="AE127" s="162" t="str">
        <f t="shared" si="99"/>
        <v/>
      </c>
      <c r="AF127" s="163" t="s">
        <v>148</v>
      </c>
      <c r="AG127" s="163" t="s">
        <v>148</v>
      </c>
      <c r="AH127" s="163" t="s">
        <v>148</v>
      </c>
      <c r="AJ127" s="162"/>
      <c r="AK127" s="162" t="s">
        <v>514</v>
      </c>
      <c r="AL127" s="163" t="s">
        <v>469</v>
      </c>
      <c r="AM127" s="179">
        <v>7109</v>
      </c>
      <c r="AN127" s="179">
        <v>7109</v>
      </c>
      <c r="AO127" s="179">
        <f t="shared" si="94"/>
        <v>11420.55546</v>
      </c>
      <c r="AP127" s="163" t="str">
        <f t="shared" si="77"/>
        <v>Cost-Effective</v>
      </c>
      <c r="AQ127" s="163" t="str">
        <f t="shared" si="66"/>
        <v>Cost-Effective</v>
      </c>
      <c r="AR127" s="167">
        <f t="shared" si="50"/>
        <v>0.6224741016230747</v>
      </c>
      <c r="AS127" s="167">
        <f t="shared" si="83"/>
        <v>1.43</v>
      </c>
      <c r="AT127" s="159" t="str">
        <f t="shared" si="67"/>
        <v>Cost-Effective</v>
      </c>
      <c r="AU127" s="167">
        <f t="shared" si="84"/>
        <v>0.82</v>
      </c>
      <c r="AV127" s="162" t="str">
        <f t="shared" si="68"/>
        <v>Cost-Effective</v>
      </c>
      <c r="AW127" s="167">
        <f t="shared" si="85"/>
        <v>0.54388575340378054</v>
      </c>
      <c r="AX127" s="159" t="str">
        <f t="shared" si="69"/>
        <v>Not Cost-Effective</v>
      </c>
      <c r="AY127" s="167">
        <f t="shared" si="86"/>
        <v>0.2338526413848058</v>
      </c>
      <c r="AZ127" s="159" t="str">
        <f t="shared" si="70"/>
        <v>Not Cost-Effective</v>
      </c>
      <c r="BA127" s="167">
        <f t="shared" si="87"/>
        <v>0.76018072360236422</v>
      </c>
      <c r="BB127" s="159" t="str">
        <f t="shared" si="71"/>
        <v>Cost-Effective</v>
      </c>
      <c r="BC127" s="167">
        <f t="shared" si="88"/>
        <v>0.31507923271318067</v>
      </c>
      <c r="BD127" s="159" t="str">
        <f t="shared" si="72"/>
        <v>Not Cost-Effective</v>
      </c>
      <c r="BE127" s="162" t="s">
        <v>210</v>
      </c>
      <c r="BF127" s="162" t="s">
        <v>174</v>
      </c>
      <c r="BG127" s="168">
        <f t="shared" si="89"/>
        <v>0</v>
      </c>
      <c r="BH127" s="168">
        <f t="shared" si="90"/>
        <v>0</v>
      </c>
      <c r="BI127" s="163">
        <f t="shared" si="91"/>
        <v>1</v>
      </c>
      <c r="BJ127" s="163">
        <f t="shared" si="92"/>
        <v>1</v>
      </c>
      <c r="BK127" s="163">
        <f t="shared" si="73"/>
        <v>1</v>
      </c>
      <c r="BL127" s="163">
        <f t="shared" si="74"/>
        <v>0</v>
      </c>
      <c r="BM127" s="163">
        <f t="shared" si="75"/>
        <v>3</v>
      </c>
      <c r="BN127" s="163" t="s">
        <v>157</v>
      </c>
      <c r="BO127" s="162" t="str">
        <f t="shared" si="96"/>
        <v/>
      </c>
      <c r="BP127" s="162" t="s">
        <v>1403</v>
      </c>
      <c r="BQ127" s="162" t="s">
        <v>1426</v>
      </c>
    </row>
    <row r="128" spans="1:69">
      <c r="A128" s="159">
        <f t="shared" si="61"/>
        <v>41</v>
      </c>
      <c r="B128" s="159">
        <f t="shared" si="62"/>
        <v>2</v>
      </c>
      <c r="C128" s="160" t="str">
        <f t="shared" si="49"/>
        <v>4102</v>
      </c>
      <c r="D128" s="159" t="s">
        <v>511</v>
      </c>
      <c r="E128" s="161">
        <v>2013</v>
      </c>
      <c r="F128" s="162" t="s">
        <v>512</v>
      </c>
      <c r="G128" s="162" t="s">
        <v>455</v>
      </c>
      <c r="H128" s="163" t="str">
        <f t="shared" si="93"/>
        <v>UM</v>
      </c>
      <c r="I128" s="163" t="s">
        <v>157</v>
      </c>
      <c r="J128" s="180" t="s">
        <v>515</v>
      </c>
      <c r="K128" s="163" t="s">
        <v>183</v>
      </c>
      <c r="L128" s="163" t="s">
        <v>151</v>
      </c>
      <c r="M128" s="163" t="str">
        <f t="shared" si="64"/>
        <v>PCV10 vs NoVax</v>
      </c>
      <c r="N128" s="159" t="s">
        <v>166</v>
      </c>
      <c r="O128" s="159">
        <v>4</v>
      </c>
      <c r="P128" s="162" t="s">
        <v>148</v>
      </c>
      <c r="Q128" s="162" t="s">
        <v>167</v>
      </c>
      <c r="R128" s="162" t="s">
        <v>154</v>
      </c>
      <c r="S128" s="162" t="s">
        <v>155</v>
      </c>
      <c r="T128" s="159">
        <v>2011</v>
      </c>
      <c r="U128" s="165">
        <v>30</v>
      </c>
      <c r="V128" s="165">
        <f>IF(ISNUMBER(U128),U128/VLOOKUP($S128,xRates!$A$1:$AA$267,data!$T128-xRates!$B$1+2,FALSE),U128)</f>
        <v>30</v>
      </c>
      <c r="W128" s="162" t="s">
        <v>177</v>
      </c>
      <c r="Y128" s="165"/>
      <c r="AA128" s="163" t="s">
        <v>157</v>
      </c>
      <c r="AB128" s="162"/>
      <c r="AC128" s="162" t="str">
        <f t="shared" si="98"/>
        <v/>
      </c>
      <c r="AD128" s="163" t="s">
        <v>157</v>
      </c>
      <c r="AE128" s="162" t="str">
        <f t="shared" si="99"/>
        <v/>
      </c>
      <c r="AF128" s="163" t="s">
        <v>148</v>
      </c>
      <c r="AG128" s="163" t="s">
        <v>148</v>
      </c>
      <c r="AH128" s="163" t="s">
        <v>148</v>
      </c>
      <c r="AJ128" s="162"/>
      <c r="AK128" s="162" t="s">
        <v>516</v>
      </c>
      <c r="AL128" s="163" t="s">
        <v>469</v>
      </c>
      <c r="AM128" s="179">
        <v>6784</v>
      </c>
      <c r="AN128" s="179">
        <v>6784</v>
      </c>
      <c r="AO128" s="179">
        <f t="shared" si="94"/>
        <v>11420.55546</v>
      </c>
      <c r="AP128" s="163" t="str">
        <f t="shared" si="77"/>
        <v>Cost-Effective</v>
      </c>
      <c r="AQ128" s="163" t="str">
        <f t="shared" si="66"/>
        <v>Cost-Effective</v>
      </c>
      <c r="AR128" s="167">
        <f t="shared" si="50"/>
        <v>0.59401664163889978</v>
      </c>
      <c r="AS128" s="167">
        <f t="shared" si="83"/>
        <v>1.43</v>
      </c>
      <c r="AT128" s="159" t="str">
        <f t="shared" si="67"/>
        <v>Cost-Effective</v>
      </c>
      <c r="AU128" s="167">
        <f t="shared" si="84"/>
        <v>0.82</v>
      </c>
      <c r="AV128" s="162" t="str">
        <f t="shared" si="68"/>
        <v>Cost-Effective</v>
      </c>
      <c r="AW128" s="167">
        <f t="shared" si="85"/>
        <v>0.54388575340378054</v>
      </c>
      <c r="AX128" s="159" t="str">
        <f t="shared" si="69"/>
        <v>Not Cost-Effective</v>
      </c>
      <c r="AY128" s="167">
        <f t="shared" si="86"/>
        <v>0.2338526413848058</v>
      </c>
      <c r="AZ128" s="159" t="str">
        <f t="shared" si="70"/>
        <v>Not Cost-Effective</v>
      </c>
      <c r="BA128" s="167">
        <f t="shared" si="87"/>
        <v>0.76018072360236422</v>
      </c>
      <c r="BB128" s="159" t="str">
        <f t="shared" si="71"/>
        <v>Cost-Effective</v>
      </c>
      <c r="BC128" s="167">
        <f t="shared" si="88"/>
        <v>0.31507923271318067</v>
      </c>
      <c r="BD128" s="159" t="str">
        <f t="shared" si="72"/>
        <v>Not Cost-Effective</v>
      </c>
      <c r="BE128" s="162" t="s">
        <v>210</v>
      </c>
      <c r="BF128" s="162" t="s">
        <v>174</v>
      </c>
      <c r="BG128" s="168">
        <f t="shared" si="89"/>
        <v>0</v>
      </c>
      <c r="BH128" s="168">
        <f t="shared" si="90"/>
        <v>0</v>
      </c>
      <c r="BI128" s="163">
        <f t="shared" si="91"/>
        <v>1</v>
      </c>
      <c r="BJ128" s="163">
        <f t="shared" si="92"/>
        <v>1</v>
      </c>
      <c r="BK128" s="163">
        <f t="shared" si="73"/>
        <v>1</v>
      </c>
      <c r="BL128" s="163">
        <f t="shared" si="74"/>
        <v>0</v>
      </c>
      <c r="BM128" s="163">
        <f t="shared" si="75"/>
        <v>3</v>
      </c>
      <c r="BN128" s="163" t="s">
        <v>157</v>
      </c>
      <c r="BO128" s="162" t="str">
        <f t="shared" si="96"/>
        <v/>
      </c>
      <c r="BP128" s="162" t="s">
        <v>1403</v>
      </c>
      <c r="BQ128" s="162" t="s">
        <v>1426</v>
      </c>
    </row>
    <row r="129" spans="1:69">
      <c r="A129" s="159">
        <f t="shared" si="61"/>
        <v>41</v>
      </c>
      <c r="B129" s="159">
        <f t="shared" si="62"/>
        <v>3</v>
      </c>
      <c r="C129" s="160" t="str">
        <f t="shared" si="49"/>
        <v>4103</v>
      </c>
      <c r="D129" s="159" t="s">
        <v>511</v>
      </c>
      <c r="E129" s="161">
        <v>2013</v>
      </c>
      <c r="F129" s="162" t="s">
        <v>512</v>
      </c>
      <c r="G129" s="162" t="s">
        <v>455</v>
      </c>
      <c r="H129" s="163" t="str">
        <f t="shared" si="93"/>
        <v>UM</v>
      </c>
      <c r="I129" s="163" t="s">
        <v>157</v>
      </c>
      <c r="J129" s="180" t="s">
        <v>517</v>
      </c>
      <c r="K129" s="163" t="s">
        <v>186</v>
      </c>
      <c r="L129" s="163" t="s">
        <v>151</v>
      </c>
      <c r="M129" s="163" t="str">
        <f t="shared" si="64"/>
        <v>PCV13 vs NoVax</v>
      </c>
      <c r="N129" s="159" t="s">
        <v>166</v>
      </c>
      <c r="O129" s="159">
        <v>4</v>
      </c>
      <c r="P129" s="162" t="s">
        <v>148</v>
      </c>
      <c r="Q129" s="162" t="s">
        <v>167</v>
      </c>
      <c r="R129" s="162" t="s">
        <v>154</v>
      </c>
      <c r="S129" s="162" t="s">
        <v>155</v>
      </c>
      <c r="T129" s="159">
        <v>2011</v>
      </c>
      <c r="U129" s="165">
        <v>30</v>
      </c>
      <c r="V129" s="165">
        <f>IF(ISNUMBER(U129),U129/VLOOKUP($S129,xRates!$A$1:$AA$267,data!$T129-xRates!$B$1+2,FALSE),U129)</f>
        <v>30</v>
      </c>
      <c r="W129" s="162" t="s">
        <v>177</v>
      </c>
      <c r="Y129" s="165"/>
      <c r="AA129" s="163" t="s">
        <v>157</v>
      </c>
      <c r="AB129" s="162"/>
      <c r="AC129" s="162" t="str">
        <f t="shared" si="98"/>
        <v/>
      </c>
      <c r="AD129" s="163" t="s">
        <v>157</v>
      </c>
      <c r="AE129" s="162" t="str">
        <f t="shared" si="99"/>
        <v/>
      </c>
      <c r="AF129" s="163" t="s">
        <v>148</v>
      </c>
      <c r="AG129" s="163" t="s">
        <v>148</v>
      </c>
      <c r="AH129" s="163" t="s">
        <v>148</v>
      </c>
      <c r="AJ129" s="162"/>
      <c r="AK129" s="162" t="s">
        <v>518</v>
      </c>
      <c r="AL129" s="163" t="s">
        <v>469</v>
      </c>
      <c r="AM129" s="179">
        <v>6696</v>
      </c>
      <c r="AN129" s="179">
        <v>6696</v>
      </c>
      <c r="AO129" s="179">
        <f t="shared" si="94"/>
        <v>11420.55546</v>
      </c>
      <c r="AP129" s="163" t="str">
        <f t="shared" si="77"/>
        <v>Cost-Effective</v>
      </c>
      <c r="AQ129" s="163" t="str">
        <f t="shared" si="66"/>
        <v>Cost-Effective</v>
      </c>
      <c r="AR129" s="167">
        <f t="shared" ref="AR129:AR192" si="100">IFERROR(AN129/AO129,".")</f>
        <v>0.58631123708933863</v>
      </c>
      <c r="AS129" s="167">
        <f t="shared" si="83"/>
        <v>1.43</v>
      </c>
      <c r="AT129" s="159" t="str">
        <f t="shared" si="67"/>
        <v>Cost-Effective</v>
      </c>
      <c r="AU129" s="167">
        <f t="shared" si="84"/>
        <v>0.82</v>
      </c>
      <c r="AV129" s="162" t="str">
        <f t="shared" si="68"/>
        <v>Cost-Effective</v>
      </c>
      <c r="AW129" s="167">
        <f t="shared" si="85"/>
        <v>0.54388575340378054</v>
      </c>
      <c r="AX129" s="159" t="str">
        <f t="shared" si="69"/>
        <v>Not Cost-Effective</v>
      </c>
      <c r="AY129" s="167">
        <f t="shared" si="86"/>
        <v>0.2338526413848058</v>
      </c>
      <c r="AZ129" s="159" t="str">
        <f t="shared" si="70"/>
        <v>Not Cost-Effective</v>
      </c>
      <c r="BA129" s="167">
        <f t="shared" si="87"/>
        <v>0.76018072360236422</v>
      </c>
      <c r="BB129" s="159" t="str">
        <f t="shared" si="71"/>
        <v>Cost-Effective</v>
      </c>
      <c r="BC129" s="167">
        <f t="shared" si="88"/>
        <v>0.31507923271318067</v>
      </c>
      <c r="BD129" s="159" t="str">
        <f t="shared" si="72"/>
        <v>Not Cost-Effective</v>
      </c>
      <c r="BE129" s="162" t="s">
        <v>210</v>
      </c>
      <c r="BF129" s="162" t="s">
        <v>174</v>
      </c>
      <c r="BG129" s="168">
        <f t="shared" si="89"/>
        <v>0</v>
      </c>
      <c r="BH129" s="168">
        <f t="shared" si="90"/>
        <v>0</v>
      </c>
      <c r="BI129" s="163">
        <f t="shared" si="91"/>
        <v>1</v>
      </c>
      <c r="BJ129" s="163">
        <f t="shared" si="92"/>
        <v>1</v>
      </c>
      <c r="BK129" s="163">
        <f t="shared" si="73"/>
        <v>1</v>
      </c>
      <c r="BL129" s="163">
        <f t="shared" si="74"/>
        <v>0</v>
      </c>
      <c r="BM129" s="163">
        <f t="shared" si="75"/>
        <v>3</v>
      </c>
      <c r="BN129" s="163" t="s">
        <v>157</v>
      </c>
      <c r="BO129" s="162" t="str">
        <f t="shared" si="96"/>
        <v/>
      </c>
      <c r="BP129" s="162" t="s">
        <v>1403</v>
      </c>
      <c r="BQ129" s="162" t="s">
        <v>1426</v>
      </c>
    </row>
    <row r="130" spans="1:69">
      <c r="A130" s="159">
        <f t="shared" si="61"/>
        <v>42</v>
      </c>
      <c r="B130" s="159">
        <f t="shared" si="62"/>
        <v>1</v>
      </c>
      <c r="C130" s="160" t="str">
        <f t="shared" ref="C130:C193" si="101">_xlfn.CONCAT(TEXT(A130,"00"),TEXT(B130,"00"))</f>
        <v>4201</v>
      </c>
      <c r="D130" s="159" t="s">
        <v>519</v>
      </c>
      <c r="E130" s="159">
        <v>2010</v>
      </c>
      <c r="F130" s="162" t="s">
        <v>520</v>
      </c>
      <c r="G130" s="162" t="s">
        <v>421</v>
      </c>
      <c r="H130" s="163" t="str">
        <f t="shared" si="93"/>
        <v>LM</v>
      </c>
      <c r="I130" s="163" t="s">
        <v>157</v>
      </c>
      <c r="J130" s="180" t="s">
        <v>149</v>
      </c>
      <c r="K130" s="163" t="s">
        <v>150</v>
      </c>
      <c r="L130" s="163" t="s">
        <v>151</v>
      </c>
      <c r="M130" s="163" t="str">
        <f t="shared" si="64"/>
        <v>PCV7 vs NoVax</v>
      </c>
      <c r="N130" s="159" t="s">
        <v>331</v>
      </c>
      <c r="O130" s="159">
        <v>3</v>
      </c>
      <c r="P130" s="162" t="s">
        <v>148</v>
      </c>
      <c r="Q130" s="162" t="s">
        <v>167</v>
      </c>
      <c r="R130" s="162" t="s">
        <v>154</v>
      </c>
      <c r="S130" s="162" t="s">
        <v>155</v>
      </c>
      <c r="T130" s="159">
        <v>2006</v>
      </c>
      <c r="U130" s="165">
        <v>35</v>
      </c>
      <c r="V130" s="165">
        <f>IF(ISNUMBER(U130),U130/VLOOKUP($S130,xRates!$A$1:$AA$267,data!$T130-xRates!$B$1+2,FALSE),U130)</f>
        <v>35</v>
      </c>
      <c r="W130" s="162" t="s">
        <v>177</v>
      </c>
      <c r="Y130" s="165"/>
      <c r="AA130" s="163" t="s">
        <v>157</v>
      </c>
      <c r="AB130" s="162"/>
      <c r="AC130" s="162" t="str">
        <f t="shared" si="98"/>
        <v/>
      </c>
      <c r="AD130" s="163" t="s">
        <v>157</v>
      </c>
      <c r="AE130" s="162" t="str">
        <f t="shared" si="99"/>
        <v/>
      </c>
      <c r="AF130" s="163" t="s">
        <v>148</v>
      </c>
      <c r="AG130" s="163" t="s">
        <v>148</v>
      </c>
      <c r="AH130" s="163" t="s">
        <v>148</v>
      </c>
      <c r="AJ130" s="162" t="s">
        <v>467</v>
      </c>
      <c r="AK130" s="162" t="s">
        <v>521</v>
      </c>
      <c r="AL130" s="163" t="s">
        <v>469</v>
      </c>
      <c r="AM130" s="179">
        <v>752</v>
      </c>
      <c r="AN130" s="179">
        <v>752</v>
      </c>
      <c r="AO130" s="179">
        <f t="shared" si="94"/>
        <v>3741.0928370000001</v>
      </c>
      <c r="AP130" s="163" t="str">
        <f t="shared" si="77"/>
        <v>Cost-Effective</v>
      </c>
      <c r="AQ130" s="163" t="str">
        <f t="shared" ref="AQ130:AQ195" si="102">IF(AN130="NA", ".", IF(AN130&lt;0,"Cost-Saving",IF(AN130&lt;=AO130*3,"Cost-Effective",IF(AN130&gt;AO130*3&amp;AN130&lt;&gt;"NA","Not Cost-Effective","Missing"))))</f>
        <v>Cost-Effective</v>
      </c>
      <c r="AR130" s="167">
        <f t="shared" si="100"/>
        <v>0.20101078288210358</v>
      </c>
      <c r="AS130" s="167">
        <f t="shared" ref="AS130:AS161" si="103">IFERROR(VLOOKUP(G130,ochalek,11,FALSE),".")</f>
        <v>1.89</v>
      </c>
      <c r="AT130" s="159" t="str">
        <f t="shared" si="67"/>
        <v>Cost-Effective</v>
      </c>
      <c r="AU130" s="167">
        <f t="shared" ref="AU130:AU161" si="104">IFERROR(VLOOKUP(G130,ochalek,10,FALSE),".")</f>
        <v>1.17</v>
      </c>
      <c r="AV130" s="162" t="str">
        <f t="shared" si="68"/>
        <v>Cost-Effective</v>
      </c>
      <c r="AW130" s="167">
        <f t="shared" ref="AW130:AW161" si="105">IFERROR(VLOOKUP(G130,woods,6,FALSE),".")</f>
        <v>0.67142448878179284</v>
      </c>
      <c r="AX130" s="159" t="str">
        <f t="shared" si="69"/>
        <v>Cost-Effective</v>
      </c>
      <c r="AY130" s="167">
        <f t="shared" ref="AY130:AY161" si="106">IFERROR(VLOOKUP(G130,woods,5,FALSE),".")</f>
        <v>0.16670017209696561</v>
      </c>
      <c r="AZ130" s="159" t="str">
        <f t="shared" si="70"/>
        <v>Not Cost-Effective</v>
      </c>
      <c r="BA130" s="167">
        <f t="shared" ref="BA130:BA161" si="107">IFERROR(VLOOKUP(G130,riviere,8,FALSE),".")</f>
        <v>1.3237396338136047</v>
      </c>
      <c r="BB130" s="159" t="str">
        <f t="shared" si="71"/>
        <v>Cost-Effective</v>
      </c>
      <c r="BC130" s="167">
        <f t="shared" ref="BC130:BC161" si="108">IFERROR(VLOOKUP(G130,riviere,7,FALSE),".")</f>
        <v>0.54863988350299309</v>
      </c>
      <c r="BD130" s="159" t="str">
        <f t="shared" si="72"/>
        <v>Cost-Effective</v>
      </c>
      <c r="BE130" s="162" t="s">
        <v>210</v>
      </c>
      <c r="BF130" s="162" t="s">
        <v>174</v>
      </c>
      <c r="BG130" s="168">
        <f t="shared" ref="BG130:BG161" si="109">IF(BF130="Cost-Effective",IF(AV130="Not Cost-Effective",1,0),".")</f>
        <v>0</v>
      </c>
      <c r="BH130" s="168">
        <f t="shared" ref="BH130:BH161" si="110">IF(BF130="Cost-Effective",IF(AT130="Not Cost-Effective",1,0),".")</f>
        <v>0</v>
      </c>
      <c r="BI130" s="163">
        <f t="shared" ref="BI130:BI161" si="111">IF(BF130="Cost-Effective",IF(AZ130="Not Cost-Effective",1,0),".")</f>
        <v>1</v>
      </c>
      <c r="BJ130" s="163">
        <f t="shared" ref="BJ130:BJ161" si="112">IF(BF130="Cost-Effective",IF(AX130="Not Cost-Effective",1,0),".")</f>
        <v>0</v>
      </c>
      <c r="BK130" s="163">
        <f t="shared" si="73"/>
        <v>0</v>
      </c>
      <c r="BL130" s="163">
        <f t="shared" si="74"/>
        <v>0</v>
      </c>
      <c r="BM130" s="163">
        <f t="shared" si="75"/>
        <v>1</v>
      </c>
      <c r="BN130" s="163" t="s">
        <v>157</v>
      </c>
      <c r="BO130" s="162" t="str">
        <f t="shared" si="96"/>
        <v/>
      </c>
      <c r="BP130" s="162" t="s">
        <v>1403</v>
      </c>
      <c r="BQ130" s="162" t="s">
        <v>1426</v>
      </c>
    </row>
    <row r="131" spans="1:69">
      <c r="A131" s="159">
        <f t="shared" ref="A131:A194" si="113">IF(F131=F130,A130,A130+1)</f>
        <v>43</v>
      </c>
      <c r="B131" s="159">
        <f t="shared" ref="B131:B194" si="114">IF(F131=F130,B130+1,1)</f>
        <v>1</v>
      </c>
      <c r="C131" s="160" t="str">
        <f t="shared" si="101"/>
        <v>4301</v>
      </c>
      <c r="D131" s="159" t="s">
        <v>522</v>
      </c>
      <c r="E131" s="159">
        <v>2013</v>
      </c>
      <c r="F131" s="162" t="s">
        <v>523</v>
      </c>
      <c r="G131" s="182" t="s">
        <v>365</v>
      </c>
      <c r="H131" s="163" t="str">
        <f t="shared" si="93"/>
        <v>UM</v>
      </c>
      <c r="I131" s="163" t="s">
        <v>157</v>
      </c>
      <c r="J131" s="180" t="s">
        <v>352</v>
      </c>
      <c r="K131" s="163" t="s">
        <v>183</v>
      </c>
      <c r="L131" s="163" t="s">
        <v>151</v>
      </c>
      <c r="M131" s="163" t="str">
        <f t="shared" ref="M131:M194" si="115">_xlfn.CONCAT(K131, " vs ", L131)</f>
        <v>PCV10 vs NoVax</v>
      </c>
      <c r="N131" s="159" t="s">
        <v>198</v>
      </c>
      <c r="O131" s="159">
        <v>4</v>
      </c>
      <c r="P131" s="162" t="s">
        <v>148</v>
      </c>
      <c r="Q131" s="162" t="s">
        <v>167</v>
      </c>
      <c r="R131" s="162" t="s">
        <v>154</v>
      </c>
      <c r="S131" s="162" t="s">
        <v>155</v>
      </c>
      <c r="T131" s="159">
        <v>2009</v>
      </c>
      <c r="U131" s="165">
        <v>20</v>
      </c>
      <c r="V131" s="165">
        <f>IF(ISNUMBER(U131),U131/VLOOKUP($S131,xRates!$A$1:$AA$267,data!$T131-xRates!$B$1+2,FALSE),U131)</f>
        <v>20</v>
      </c>
      <c r="W131" s="162" t="s">
        <v>524</v>
      </c>
      <c r="Y131" s="165"/>
      <c r="AA131" s="163" t="s">
        <v>157</v>
      </c>
      <c r="AB131" s="162"/>
      <c r="AC131" s="162" t="str">
        <f t="shared" si="98"/>
        <v/>
      </c>
      <c r="AD131" s="163" t="s">
        <v>157</v>
      </c>
      <c r="AE131" s="162" t="str">
        <f t="shared" si="99"/>
        <v/>
      </c>
      <c r="AF131" s="163" t="s">
        <v>148</v>
      </c>
      <c r="AG131" s="163" t="s">
        <v>148</v>
      </c>
      <c r="AH131" s="163" t="s">
        <v>148</v>
      </c>
      <c r="AJ131" s="162"/>
      <c r="AK131" s="162" t="s">
        <v>525</v>
      </c>
      <c r="AL131" s="163" t="s">
        <v>159</v>
      </c>
      <c r="AM131" s="179">
        <v>3347.53</v>
      </c>
      <c r="AN131" s="179">
        <v>3347.53</v>
      </c>
      <c r="AO131" s="179">
        <f t="shared" si="94"/>
        <v>8225.1375829999997</v>
      </c>
      <c r="AP131" s="163" t="str">
        <f t="shared" si="77"/>
        <v>Cost-Effective</v>
      </c>
      <c r="AQ131" s="163" t="str">
        <f t="shared" si="102"/>
        <v>Cost-Effective</v>
      </c>
      <c r="AR131" s="167">
        <f t="shared" si="100"/>
        <v>0.4069877210222953</v>
      </c>
      <c r="AS131" s="167">
        <f t="shared" si="103"/>
        <v>0.56000000000000005</v>
      </c>
      <c r="AT131" s="159" t="str">
        <f t="shared" ref="AT131:AT194" si="116">IF(AR131&lt;0,"Cost-Saving", IF(AS131=".", ".", IF(AR131&lt;AS131, "Cost-Effective", "Not Cost-Effective")))</f>
        <v>Cost-Effective</v>
      </c>
      <c r="AU131" s="167">
        <f t="shared" si="104"/>
        <v>0.37</v>
      </c>
      <c r="AV131" s="162" t="str">
        <f t="shared" ref="AV131:AV194" si="117">IF(AR131&lt;0,"Cost-Saving", IF(AU131=".", ".", IF(AR131&lt;AU131, "Cost-Effective", "Not Cost-Effective")))</f>
        <v>Not Cost-Effective</v>
      </c>
      <c r="AW131" s="167" t="str">
        <f t="shared" si="105"/>
        <v>.</v>
      </c>
      <c r="AX131" s="159" t="str">
        <f t="shared" ref="AX131:AX194" si="118">IF(AR131&lt;0,"Cost-Saving", IF(AW131=".", ".", IF(AR131&lt;AW131, "Cost-Effective", "Not Cost-Effective")))</f>
        <v>.</v>
      </c>
      <c r="AY131" s="167" t="str">
        <f t="shared" si="106"/>
        <v>.</v>
      </c>
      <c r="AZ131" s="159" t="str">
        <f t="shared" ref="AZ131:AZ194" si="119">IF(AR131&lt;0,"Cost-Saving", IF(AY131=".", ".", IF(AR131&lt;AY131, "Cost-Effective", "Not Cost-Effective")))</f>
        <v>.</v>
      </c>
      <c r="BA131" s="167">
        <f t="shared" si="107"/>
        <v>1.6326529897923321</v>
      </c>
      <c r="BB131" s="159" t="str">
        <f t="shared" ref="BB131:BB192" si="120">IF(AR131&lt;0,"Cost-Saving", IF(BA131=".", ".", IF(AR131&lt;BA131, "Cost-Effective", "Not Cost-Effective")))</f>
        <v>Cost-Effective</v>
      </c>
      <c r="BC131" s="167">
        <f t="shared" si="108"/>
        <v>0.67666749470350318</v>
      </c>
      <c r="BD131" s="159" t="str">
        <f t="shared" ref="BD131:BD192" si="121">IF(AR131&lt;0,"Cost-Saving", IF(BC131=".", ".", IF(AR131&lt;BC131, "Cost-Effective", "Not Cost-Effective")))</f>
        <v>Cost-Effective</v>
      </c>
      <c r="BE131" s="162" t="s">
        <v>173</v>
      </c>
      <c r="BF131" s="162" t="s">
        <v>174</v>
      </c>
      <c r="BG131" s="168">
        <f t="shared" si="109"/>
        <v>1</v>
      </c>
      <c r="BH131" s="168">
        <f t="shared" si="110"/>
        <v>0</v>
      </c>
      <c r="BI131" s="163">
        <f t="shared" si="111"/>
        <v>0</v>
      </c>
      <c r="BJ131" s="163">
        <f t="shared" si="112"/>
        <v>0</v>
      </c>
      <c r="BK131" s="163">
        <f t="shared" ref="BK131:BK192" si="122">IF(BF131="Cost-Effective",IF(BD131="Not Cost-Effective",1,0),".")</f>
        <v>0</v>
      </c>
      <c r="BL131" s="163">
        <f t="shared" ref="BL131:BL192" si="123">IF(BF131="Cost-Effective",IF(BB131="Not Cost-Effective",1,0),".")</f>
        <v>0</v>
      </c>
      <c r="BM131" s="163">
        <f t="shared" ref="BM131:BM192" si="124">SUM(BG131:BL131)</f>
        <v>1</v>
      </c>
      <c r="BN131" s="163" t="s">
        <v>157</v>
      </c>
      <c r="BO131" s="162" t="str">
        <f t="shared" si="96"/>
        <v/>
      </c>
      <c r="BP131" s="162" t="s">
        <v>272</v>
      </c>
      <c r="BQ131" s="162" t="s">
        <v>1425</v>
      </c>
    </row>
    <row r="132" spans="1:69">
      <c r="A132" s="159">
        <f t="shared" si="113"/>
        <v>43</v>
      </c>
      <c r="B132" s="159">
        <f t="shared" si="114"/>
        <v>2</v>
      </c>
      <c r="C132" s="160" t="str">
        <f t="shared" si="101"/>
        <v>4302</v>
      </c>
      <c r="D132" s="159" t="s">
        <v>522</v>
      </c>
      <c r="E132" s="159">
        <v>2013</v>
      </c>
      <c r="F132" s="162" t="s">
        <v>523</v>
      </c>
      <c r="G132" s="182" t="s">
        <v>365</v>
      </c>
      <c r="H132" s="163" t="str">
        <f t="shared" ref="H132:H162" si="125">VLOOKUP(G132,income,T132-1985,FALSE)</f>
        <v>UM</v>
      </c>
      <c r="I132" s="163" t="s">
        <v>157</v>
      </c>
      <c r="J132" s="180" t="s">
        <v>352</v>
      </c>
      <c r="K132" s="163" t="s">
        <v>183</v>
      </c>
      <c r="L132" s="163" t="s">
        <v>151</v>
      </c>
      <c r="M132" s="163" t="str">
        <f t="shared" si="115"/>
        <v>PCV10 vs NoVax</v>
      </c>
      <c r="N132" s="159" t="s">
        <v>198</v>
      </c>
      <c r="O132" s="159">
        <v>4</v>
      </c>
      <c r="P132" s="162" t="s">
        <v>157</v>
      </c>
      <c r="Q132" s="162" t="s">
        <v>153</v>
      </c>
      <c r="R132" s="162" t="s">
        <v>154</v>
      </c>
      <c r="S132" s="162" t="s">
        <v>155</v>
      </c>
      <c r="T132" s="159">
        <v>2009</v>
      </c>
      <c r="U132" s="165">
        <v>20</v>
      </c>
      <c r="V132" s="165">
        <f>IF(ISNUMBER(U132),U132/VLOOKUP($S132,xRates!$A$1:$AA$267,data!$T132-xRates!$B$1+2,FALSE),U132)</f>
        <v>20</v>
      </c>
      <c r="W132" s="162" t="s">
        <v>524</v>
      </c>
      <c r="Y132" s="165"/>
      <c r="AA132" s="163" t="s">
        <v>157</v>
      </c>
      <c r="AB132" s="162"/>
      <c r="AC132" s="162" t="str">
        <f t="shared" si="98"/>
        <v/>
      </c>
      <c r="AD132" s="163" t="s">
        <v>157</v>
      </c>
      <c r="AE132" s="162" t="str">
        <f t="shared" si="99"/>
        <v/>
      </c>
      <c r="AF132" s="163" t="s">
        <v>148</v>
      </c>
      <c r="AG132" s="163" t="s">
        <v>148</v>
      </c>
      <c r="AH132" s="163" t="s">
        <v>148</v>
      </c>
      <c r="AJ132" s="162"/>
      <c r="AK132" s="162" t="s">
        <v>526</v>
      </c>
      <c r="AL132" s="163" t="s">
        <v>159</v>
      </c>
      <c r="AM132" s="179">
        <v>1509.59</v>
      </c>
      <c r="AN132" s="179">
        <v>1509.59</v>
      </c>
      <c r="AO132" s="179">
        <f t="shared" ref="AO132:AO162" si="126">VLOOKUP(G132,gdppc,T132-1958,FALSE)</f>
        <v>8225.1375829999997</v>
      </c>
      <c r="AP132" s="163" t="str">
        <f t="shared" si="77"/>
        <v>Cost-Effective</v>
      </c>
      <c r="AQ132" s="163" t="str">
        <f t="shared" si="102"/>
        <v>Cost-Effective</v>
      </c>
      <c r="AR132" s="167">
        <f t="shared" si="100"/>
        <v>0.18353370807074074</v>
      </c>
      <c r="AS132" s="167">
        <f t="shared" si="103"/>
        <v>0.56000000000000005</v>
      </c>
      <c r="AT132" s="159" t="str">
        <f t="shared" si="116"/>
        <v>Cost-Effective</v>
      </c>
      <c r="AU132" s="167">
        <f t="shared" si="104"/>
        <v>0.37</v>
      </c>
      <c r="AV132" s="162" t="str">
        <f t="shared" si="117"/>
        <v>Cost-Effective</v>
      </c>
      <c r="AW132" s="167" t="str">
        <f t="shared" si="105"/>
        <v>.</v>
      </c>
      <c r="AX132" s="159" t="str">
        <f t="shared" si="118"/>
        <v>.</v>
      </c>
      <c r="AY132" s="167" t="str">
        <f t="shared" si="106"/>
        <v>.</v>
      </c>
      <c r="AZ132" s="159" t="str">
        <f t="shared" si="119"/>
        <v>.</v>
      </c>
      <c r="BA132" s="167">
        <f t="shared" si="107"/>
        <v>1.6326529897923321</v>
      </c>
      <c r="BB132" s="159" t="str">
        <f t="shared" si="120"/>
        <v>Cost-Effective</v>
      </c>
      <c r="BC132" s="167">
        <f t="shared" si="108"/>
        <v>0.67666749470350318</v>
      </c>
      <c r="BD132" s="159" t="str">
        <f t="shared" si="121"/>
        <v>Cost-Effective</v>
      </c>
      <c r="BE132" s="162" t="s">
        <v>173</v>
      </c>
      <c r="BF132" s="162" t="s">
        <v>174</v>
      </c>
      <c r="BG132" s="168">
        <f t="shared" si="109"/>
        <v>0</v>
      </c>
      <c r="BH132" s="168">
        <f t="shared" si="110"/>
        <v>0</v>
      </c>
      <c r="BI132" s="163">
        <f t="shared" si="111"/>
        <v>0</v>
      </c>
      <c r="BJ132" s="163">
        <f t="shared" si="112"/>
        <v>0</v>
      </c>
      <c r="BK132" s="163">
        <f t="shared" si="122"/>
        <v>0</v>
      </c>
      <c r="BL132" s="163">
        <f t="shared" si="123"/>
        <v>0</v>
      </c>
      <c r="BM132" s="163">
        <f t="shared" si="124"/>
        <v>0</v>
      </c>
      <c r="BN132" s="163" t="s">
        <v>157</v>
      </c>
      <c r="BO132" s="162" t="str">
        <f t="shared" si="96"/>
        <v/>
      </c>
      <c r="BP132" s="162" t="s">
        <v>272</v>
      </c>
      <c r="BQ132" s="162" t="s">
        <v>1425</v>
      </c>
    </row>
    <row r="133" spans="1:69">
      <c r="A133" s="159">
        <f t="shared" si="113"/>
        <v>43</v>
      </c>
      <c r="B133" s="159">
        <f t="shared" si="114"/>
        <v>3</v>
      </c>
      <c r="C133" s="160" t="str">
        <f t="shared" si="101"/>
        <v>4303</v>
      </c>
      <c r="D133" s="159" t="s">
        <v>522</v>
      </c>
      <c r="E133" s="159">
        <v>2013</v>
      </c>
      <c r="F133" s="162" t="s">
        <v>523</v>
      </c>
      <c r="G133" s="182" t="s">
        <v>365</v>
      </c>
      <c r="H133" s="163" t="str">
        <f t="shared" si="125"/>
        <v>UM</v>
      </c>
      <c r="I133" s="163" t="s">
        <v>157</v>
      </c>
      <c r="J133" s="180" t="s">
        <v>352</v>
      </c>
      <c r="K133" s="163" t="s">
        <v>183</v>
      </c>
      <c r="L133" s="163" t="s">
        <v>151</v>
      </c>
      <c r="M133" s="163" t="str">
        <f t="shared" si="115"/>
        <v>PCV10 vs NoVax</v>
      </c>
      <c r="N133" s="159" t="s">
        <v>198</v>
      </c>
      <c r="O133" s="159">
        <v>4</v>
      </c>
      <c r="P133" s="162" t="s">
        <v>157</v>
      </c>
      <c r="Q133" s="162" t="s">
        <v>167</v>
      </c>
      <c r="R133" s="162" t="s">
        <v>154</v>
      </c>
      <c r="S133" s="162" t="s">
        <v>155</v>
      </c>
      <c r="T133" s="159">
        <v>2009</v>
      </c>
      <c r="U133" s="165">
        <v>20</v>
      </c>
      <c r="V133" s="165">
        <f>IF(ISNUMBER(U133),U133/VLOOKUP($S133,xRates!$A$1:$AA$267,data!$T133-xRates!$B$1+2,FALSE),U133)</f>
        <v>20</v>
      </c>
      <c r="W133" s="162" t="s">
        <v>524</v>
      </c>
      <c r="Y133" s="165"/>
      <c r="AA133" s="163" t="s">
        <v>148</v>
      </c>
      <c r="AB133" s="162" t="s">
        <v>217</v>
      </c>
      <c r="AC133" s="162" t="s">
        <v>148</v>
      </c>
      <c r="AD133" s="163" t="s">
        <v>157</v>
      </c>
      <c r="AE133" s="162" t="str">
        <f t="shared" si="99"/>
        <v/>
      </c>
      <c r="AF133" s="163" t="s">
        <v>148</v>
      </c>
      <c r="AG133" s="163" t="s">
        <v>148</v>
      </c>
      <c r="AH133" s="163" t="s">
        <v>148</v>
      </c>
      <c r="AJ133" s="162"/>
      <c r="AK133" s="162" t="s">
        <v>527</v>
      </c>
      <c r="AL133" s="163" t="s">
        <v>159</v>
      </c>
      <c r="AM133" s="179">
        <v>3295.13</v>
      </c>
      <c r="AN133" s="179">
        <v>3295.13</v>
      </c>
      <c r="AO133" s="179">
        <f t="shared" si="126"/>
        <v>8225.1375829999997</v>
      </c>
      <c r="AP133" s="163" t="str">
        <f t="shared" si="77"/>
        <v>Cost-Effective</v>
      </c>
      <c r="AQ133" s="163" t="str">
        <f t="shared" si="102"/>
        <v>Cost-Effective</v>
      </c>
      <c r="AR133" s="167">
        <f t="shared" si="100"/>
        <v>0.40061700691918994</v>
      </c>
      <c r="AS133" s="167">
        <f t="shared" si="103"/>
        <v>0.56000000000000005</v>
      </c>
      <c r="AT133" s="159" t="str">
        <f t="shared" si="116"/>
        <v>Cost-Effective</v>
      </c>
      <c r="AU133" s="167">
        <f t="shared" si="104"/>
        <v>0.37</v>
      </c>
      <c r="AV133" s="162" t="str">
        <f t="shared" si="117"/>
        <v>Not Cost-Effective</v>
      </c>
      <c r="AW133" s="167" t="str">
        <f t="shared" si="105"/>
        <v>.</v>
      </c>
      <c r="AX133" s="159" t="str">
        <f t="shared" si="118"/>
        <v>.</v>
      </c>
      <c r="AY133" s="167" t="str">
        <f t="shared" si="106"/>
        <v>.</v>
      </c>
      <c r="AZ133" s="159" t="str">
        <f t="shared" si="119"/>
        <v>.</v>
      </c>
      <c r="BA133" s="167">
        <f t="shared" si="107"/>
        <v>1.6326529897923321</v>
      </c>
      <c r="BB133" s="159" t="str">
        <f t="shared" si="120"/>
        <v>Cost-Effective</v>
      </c>
      <c r="BC133" s="167">
        <f t="shared" si="108"/>
        <v>0.67666749470350318</v>
      </c>
      <c r="BD133" s="159" t="str">
        <f t="shared" si="121"/>
        <v>Cost-Effective</v>
      </c>
      <c r="BE133" s="162" t="s">
        <v>173</v>
      </c>
      <c r="BF133" s="162" t="s">
        <v>174</v>
      </c>
      <c r="BG133" s="168">
        <f t="shared" si="109"/>
        <v>1</v>
      </c>
      <c r="BH133" s="168">
        <f t="shared" si="110"/>
        <v>0</v>
      </c>
      <c r="BI133" s="163">
        <f t="shared" si="111"/>
        <v>0</v>
      </c>
      <c r="BJ133" s="163">
        <f t="shared" si="112"/>
        <v>0</v>
      </c>
      <c r="BK133" s="163">
        <f t="shared" si="122"/>
        <v>0</v>
      </c>
      <c r="BL133" s="163">
        <f t="shared" si="123"/>
        <v>0</v>
      </c>
      <c r="BM133" s="163">
        <f t="shared" si="124"/>
        <v>1</v>
      </c>
      <c r="BN133" s="163" t="s">
        <v>157</v>
      </c>
      <c r="BO133" s="162" t="str">
        <f t="shared" si="96"/>
        <v/>
      </c>
      <c r="BP133" s="162" t="s">
        <v>272</v>
      </c>
      <c r="BQ133" s="162" t="s">
        <v>1425</v>
      </c>
    </row>
    <row r="134" spans="1:69">
      <c r="A134" s="159">
        <f t="shared" si="113"/>
        <v>43</v>
      </c>
      <c r="B134" s="159">
        <f t="shared" si="114"/>
        <v>4</v>
      </c>
      <c r="C134" s="160" t="str">
        <f t="shared" si="101"/>
        <v>4304</v>
      </c>
      <c r="D134" s="159" t="s">
        <v>522</v>
      </c>
      <c r="E134" s="159">
        <v>2013</v>
      </c>
      <c r="F134" s="162" t="s">
        <v>523</v>
      </c>
      <c r="G134" s="182" t="s">
        <v>365</v>
      </c>
      <c r="H134" s="163" t="str">
        <f t="shared" si="125"/>
        <v>UM</v>
      </c>
      <c r="I134" s="163" t="s">
        <v>157</v>
      </c>
      <c r="J134" s="180" t="s">
        <v>352</v>
      </c>
      <c r="K134" s="163" t="s">
        <v>183</v>
      </c>
      <c r="L134" s="163" t="s">
        <v>151</v>
      </c>
      <c r="M134" s="163" t="str">
        <f t="shared" si="115"/>
        <v>PCV10 vs NoVax</v>
      </c>
      <c r="N134" s="159" t="s">
        <v>198</v>
      </c>
      <c r="O134" s="159">
        <v>4</v>
      </c>
      <c r="P134" s="162" t="s">
        <v>157</v>
      </c>
      <c r="Q134" s="162" t="s">
        <v>167</v>
      </c>
      <c r="R134" s="162" t="s">
        <v>154</v>
      </c>
      <c r="S134" s="162" t="s">
        <v>155</v>
      </c>
      <c r="T134" s="159">
        <v>2009</v>
      </c>
      <c r="U134" s="165">
        <v>20</v>
      </c>
      <c r="V134" s="165">
        <f>IF(ISNUMBER(U134),U134/VLOOKUP($S134,xRates!$A$1:$AA$267,data!$T134-xRates!$B$1+2,FALSE),U134)</f>
        <v>20</v>
      </c>
      <c r="W134" s="162" t="s">
        <v>524</v>
      </c>
      <c r="Y134" s="165"/>
      <c r="AA134" s="163" t="s">
        <v>148</v>
      </c>
      <c r="AB134" s="162" t="s">
        <v>217</v>
      </c>
      <c r="AC134" s="162" t="s">
        <v>148</v>
      </c>
      <c r="AD134" s="163" t="s">
        <v>148</v>
      </c>
      <c r="AE134" s="162" t="s">
        <v>177</v>
      </c>
      <c r="AF134" s="163" t="s">
        <v>148</v>
      </c>
      <c r="AG134" s="163" t="s">
        <v>148</v>
      </c>
      <c r="AH134" s="163" t="s">
        <v>148</v>
      </c>
      <c r="AJ134" s="162"/>
      <c r="AK134" s="162" t="s">
        <v>528</v>
      </c>
      <c r="AL134" s="163" t="s">
        <v>159</v>
      </c>
      <c r="AM134" s="179">
        <v>1454.51</v>
      </c>
      <c r="AN134" s="179">
        <v>1454.51</v>
      </c>
      <c r="AO134" s="179">
        <f t="shared" si="126"/>
        <v>8225.1375829999997</v>
      </c>
      <c r="AP134" s="163" t="str">
        <f t="shared" si="77"/>
        <v>Cost-Effective</v>
      </c>
      <c r="AQ134" s="163" t="str">
        <f t="shared" si="102"/>
        <v>Cost-Effective</v>
      </c>
      <c r="AR134" s="167">
        <f t="shared" si="100"/>
        <v>0.17683716355167503</v>
      </c>
      <c r="AS134" s="167">
        <f t="shared" si="103"/>
        <v>0.56000000000000005</v>
      </c>
      <c r="AT134" s="159" t="str">
        <f t="shared" si="116"/>
        <v>Cost-Effective</v>
      </c>
      <c r="AU134" s="167">
        <f t="shared" si="104"/>
        <v>0.37</v>
      </c>
      <c r="AV134" s="162" t="str">
        <f t="shared" si="117"/>
        <v>Cost-Effective</v>
      </c>
      <c r="AW134" s="167" t="str">
        <f t="shared" si="105"/>
        <v>.</v>
      </c>
      <c r="AX134" s="159" t="str">
        <f t="shared" si="118"/>
        <v>.</v>
      </c>
      <c r="AY134" s="167" t="str">
        <f t="shared" si="106"/>
        <v>.</v>
      </c>
      <c r="AZ134" s="159" t="str">
        <f t="shared" si="119"/>
        <v>.</v>
      </c>
      <c r="BA134" s="167">
        <f t="shared" si="107"/>
        <v>1.6326529897923321</v>
      </c>
      <c r="BB134" s="159" t="str">
        <f t="shared" si="120"/>
        <v>Cost-Effective</v>
      </c>
      <c r="BC134" s="167">
        <f t="shared" si="108"/>
        <v>0.67666749470350318</v>
      </c>
      <c r="BD134" s="159" t="str">
        <f t="shared" si="121"/>
        <v>Cost-Effective</v>
      </c>
      <c r="BE134" s="162" t="s">
        <v>173</v>
      </c>
      <c r="BF134" s="162" t="s">
        <v>174</v>
      </c>
      <c r="BG134" s="168">
        <f t="shared" si="109"/>
        <v>0</v>
      </c>
      <c r="BH134" s="168">
        <f t="shared" si="110"/>
        <v>0</v>
      </c>
      <c r="BI134" s="163">
        <f t="shared" si="111"/>
        <v>0</v>
      </c>
      <c r="BJ134" s="163">
        <f t="shared" si="112"/>
        <v>0</v>
      </c>
      <c r="BK134" s="163">
        <f t="shared" si="122"/>
        <v>0</v>
      </c>
      <c r="BL134" s="163">
        <f t="shared" si="123"/>
        <v>0</v>
      </c>
      <c r="BM134" s="163">
        <f t="shared" si="124"/>
        <v>0</v>
      </c>
      <c r="BN134" s="163" t="s">
        <v>157</v>
      </c>
      <c r="BO134" s="162" t="str">
        <f t="shared" si="96"/>
        <v/>
      </c>
      <c r="BP134" s="162" t="s">
        <v>272</v>
      </c>
      <c r="BQ134" s="162" t="s">
        <v>1425</v>
      </c>
    </row>
    <row r="135" spans="1:69">
      <c r="A135" s="159">
        <f t="shared" si="113"/>
        <v>43</v>
      </c>
      <c r="B135" s="159">
        <f t="shared" si="114"/>
        <v>5</v>
      </c>
      <c r="C135" s="160" t="str">
        <f t="shared" si="101"/>
        <v>4305</v>
      </c>
      <c r="D135" s="159" t="s">
        <v>522</v>
      </c>
      <c r="E135" s="159">
        <v>2013</v>
      </c>
      <c r="F135" s="162" t="s">
        <v>523</v>
      </c>
      <c r="G135" s="182" t="s">
        <v>330</v>
      </c>
      <c r="H135" s="163" t="str">
        <f t="shared" si="125"/>
        <v>UM</v>
      </c>
      <c r="I135" s="163" t="s">
        <v>157</v>
      </c>
      <c r="J135" s="180" t="s">
        <v>352</v>
      </c>
      <c r="K135" s="163" t="s">
        <v>183</v>
      </c>
      <c r="L135" s="163" t="s">
        <v>151</v>
      </c>
      <c r="M135" s="163" t="str">
        <f t="shared" si="115"/>
        <v>PCV10 vs NoVax</v>
      </c>
      <c r="N135" s="159" t="s">
        <v>198</v>
      </c>
      <c r="O135" s="159">
        <v>4</v>
      </c>
      <c r="P135" s="162" t="s">
        <v>148</v>
      </c>
      <c r="Q135" s="162" t="s">
        <v>167</v>
      </c>
      <c r="R135" s="162" t="s">
        <v>154</v>
      </c>
      <c r="S135" s="162" t="s">
        <v>155</v>
      </c>
      <c r="T135" s="159">
        <v>2008</v>
      </c>
      <c r="U135" s="165">
        <v>20</v>
      </c>
      <c r="V135" s="165">
        <f>IF(ISNUMBER(U135),U135/VLOOKUP($S135,xRates!$A$1:$AA$267,data!$T135-xRates!$B$1+2,FALSE),U135)</f>
        <v>20</v>
      </c>
      <c r="W135" s="162" t="s">
        <v>524</v>
      </c>
      <c r="Y135" s="165"/>
      <c r="AA135" s="163" t="s">
        <v>157</v>
      </c>
      <c r="AB135" s="162"/>
      <c r="AC135" s="162" t="str">
        <f>IF(AA135="No","","")</f>
        <v/>
      </c>
      <c r="AD135" s="163" t="s">
        <v>157</v>
      </c>
      <c r="AE135" s="162" t="str">
        <f>IF(AD135="No", "", "")</f>
        <v/>
      </c>
      <c r="AF135" s="163" t="s">
        <v>148</v>
      </c>
      <c r="AG135" s="163" t="s">
        <v>148</v>
      </c>
      <c r="AH135" s="163" t="s">
        <v>148</v>
      </c>
      <c r="AJ135" s="162"/>
      <c r="AK135" s="162" t="s">
        <v>529</v>
      </c>
      <c r="AL135" s="163" t="s">
        <v>159</v>
      </c>
      <c r="AM135" s="179">
        <v>7088.64</v>
      </c>
      <c r="AN135" s="179">
        <v>7088.64</v>
      </c>
      <c r="AO135" s="179">
        <f t="shared" si="126"/>
        <v>8831.1836430000003</v>
      </c>
      <c r="AP135" s="163" t="str">
        <f t="shared" ref="AP135" si="127">IF(AN135="NA", ".", IF(AN135&lt;0,"Cost-Saving",IF(AN135&lt;=AO135,"Cost-Effective",IF(AN135&gt;AO135&amp;AN135&lt;&gt;"NA","Not Cost-Effective","Missing"))))</f>
        <v>Cost-Effective</v>
      </c>
      <c r="AQ135" s="163" t="str">
        <f t="shared" si="102"/>
        <v>Cost-Effective</v>
      </c>
      <c r="AR135" s="167">
        <f t="shared" si="100"/>
        <v>0.80268288901666995</v>
      </c>
      <c r="AS135" s="167">
        <f t="shared" si="103"/>
        <v>1.0900000000000001</v>
      </c>
      <c r="AT135" s="159" t="str">
        <f t="shared" si="116"/>
        <v>Cost-Effective</v>
      </c>
      <c r="AU135" s="167">
        <f t="shared" si="104"/>
        <v>0.71</v>
      </c>
      <c r="AV135" s="162" t="str">
        <f t="shared" si="117"/>
        <v>Not Cost-Effective</v>
      </c>
      <c r="AW135" s="167">
        <f t="shared" si="105"/>
        <v>0.61331405073457201</v>
      </c>
      <c r="AX135" s="159" t="str">
        <f t="shared" si="118"/>
        <v>Not Cost-Effective</v>
      </c>
      <c r="AY135" s="167">
        <f t="shared" si="106"/>
        <v>0.19454672897770822</v>
      </c>
      <c r="AZ135" s="159" t="str">
        <f t="shared" si="119"/>
        <v>Not Cost-Effective</v>
      </c>
      <c r="BA135" s="167">
        <f t="shared" si="107"/>
        <v>1.6739433928535268</v>
      </c>
      <c r="BB135" s="159" t="str">
        <f t="shared" si="120"/>
        <v>Cost-Effective</v>
      </c>
      <c r="BC135" s="167">
        <f t="shared" si="108"/>
        <v>0.69378626051328196</v>
      </c>
      <c r="BD135" s="159" t="str">
        <f t="shared" si="121"/>
        <v>Not Cost-Effective</v>
      </c>
      <c r="BE135" s="162" t="s">
        <v>173</v>
      </c>
      <c r="BF135" s="162" t="s">
        <v>174</v>
      </c>
      <c r="BG135" s="168">
        <f t="shared" si="109"/>
        <v>1</v>
      </c>
      <c r="BH135" s="168">
        <f t="shared" si="110"/>
        <v>0</v>
      </c>
      <c r="BI135" s="163">
        <f t="shared" si="111"/>
        <v>1</v>
      </c>
      <c r="BJ135" s="163">
        <f t="shared" si="112"/>
        <v>1</v>
      </c>
      <c r="BK135" s="163">
        <f t="shared" si="122"/>
        <v>1</v>
      </c>
      <c r="BL135" s="163">
        <f t="shared" si="123"/>
        <v>0</v>
      </c>
      <c r="BM135" s="163">
        <f t="shared" si="124"/>
        <v>4</v>
      </c>
      <c r="BN135" s="163" t="s">
        <v>157</v>
      </c>
      <c r="BO135" s="162" t="str">
        <f t="shared" si="96"/>
        <v/>
      </c>
      <c r="BP135" s="162" t="s">
        <v>272</v>
      </c>
      <c r="BQ135" s="162" t="s">
        <v>1425</v>
      </c>
    </row>
    <row r="136" spans="1:69">
      <c r="A136" s="159">
        <f t="shared" si="113"/>
        <v>43</v>
      </c>
      <c r="B136" s="159">
        <f t="shared" si="114"/>
        <v>6</v>
      </c>
      <c r="C136" s="160" t="str">
        <f t="shared" si="101"/>
        <v>4306</v>
      </c>
      <c r="D136" s="159" t="s">
        <v>522</v>
      </c>
      <c r="E136" s="159">
        <v>2013</v>
      </c>
      <c r="F136" s="162" t="s">
        <v>523</v>
      </c>
      <c r="G136" s="182" t="s">
        <v>330</v>
      </c>
      <c r="H136" s="163" t="str">
        <f t="shared" si="125"/>
        <v>UM</v>
      </c>
      <c r="I136" s="163" t="s">
        <v>157</v>
      </c>
      <c r="J136" s="180" t="s">
        <v>352</v>
      </c>
      <c r="K136" s="163" t="s">
        <v>183</v>
      </c>
      <c r="L136" s="163" t="s">
        <v>151</v>
      </c>
      <c r="M136" s="163" t="str">
        <f t="shared" si="115"/>
        <v>PCV10 vs NoVax</v>
      </c>
      <c r="N136" s="159" t="s">
        <v>198</v>
      </c>
      <c r="O136" s="159">
        <v>4</v>
      </c>
      <c r="P136" s="162" t="s">
        <v>157</v>
      </c>
      <c r="Q136" s="162" t="s">
        <v>153</v>
      </c>
      <c r="R136" s="162" t="s">
        <v>154</v>
      </c>
      <c r="S136" s="162" t="s">
        <v>155</v>
      </c>
      <c r="T136" s="159">
        <v>2008</v>
      </c>
      <c r="U136" s="165">
        <v>20</v>
      </c>
      <c r="V136" s="165">
        <f>IF(ISNUMBER(U136),U136/VLOOKUP($S136,xRates!$A$1:$AA$267,data!$T136-xRates!$B$1+2,FALSE),U136)</f>
        <v>20</v>
      </c>
      <c r="W136" s="162" t="s">
        <v>524</v>
      </c>
      <c r="Y136" s="165"/>
      <c r="AA136" s="163" t="s">
        <v>157</v>
      </c>
      <c r="AB136" s="162"/>
      <c r="AC136" s="162" t="str">
        <f>IF(AA136="No","","")</f>
        <v/>
      </c>
      <c r="AD136" s="163" t="s">
        <v>157</v>
      </c>
      <c r="AE136" s="162" t="str">
        <f>IF(AD136="No", "", "")</f>
        <v/>
      </c>
      <c r="AF136" s="163" t="s">
        <v>148</v>
      </c>
      <c r="AG136" s="163" t="s">
        <v>148</v>
      </c>
      <c r="AH136" s="163" t="s">
        <v>148</v>
      </c>
      <c r="AJ136" s="162"/>
      <c r="AK136" s="162" t="s">
        <v>530</v>
      </c>
      <c r="AL136" s="163" t="s">
        <v>159</v>
      </c>
      <c r="AM136" s="179">
        <v>4810.99</v>
      </c>
      <c r="AN136" s="179">
        <v>4810.99</v>
      </c>
      <c r="AO136" s="179">
        <f t="shared" si="126"/>
        <v>8831.1836430000003</v>
      </c>
      <c r="AP136" s="163" t="str">
        <f t="shared" si="77"/>
        <v>Cost-Effective</v>
      </c>
      <c r="AQ136" s="163" t="str">
        <f t="shared" si="102"/>
        <v>Cost-Effective</v>
      </c>
      <c r="AR136" s="167">
        <f t="shared" si="100"/>
        <v>0.54477295394184333</v>
      </c>
      <c r="AS136" s="167">
        <f t="shared" si="103"/>
        <v>1.0900000000000001</v>
      </c>
      <c r="AT136" s="159" t="str">
        <f t="shared" si="116"/>
        <v>Cost-Effective</v>
      </c>
      <c r="AU136" s="167">
        <f t="shared" si="104"/>
        <v>0.71</v>
      </c>
      <c r="AV136" s="162" t="str">
        <f t="shared" si="117"/>
        <v>Cost-Effective</v>
      </c>
      <c r="AW136" s="167">
        <f t="shared" si="105"/>
        <v>0.61331405073457201</v>
      </c>
      <c r="AX136" s="159" t="str">
        <f t="shared" si="118"/>
        <v>Cost-Effective</v>
      </c>
      <c r="AY136" s="167">
        <f t="shared" si="106"/>
        <v>0.19454672897770822</v>
      </c>
      <c r="AZ136" s="159" t="str">
        <f t="shared" si="119"/>
        <v>Not Cost-Effective</v>
      </c>
      <c r="BA136" s="167">
        <f t="shared" si="107"/>
        <v>1.6739433928535268</v>
      </c>
      <c r="BB136" s="159" t="str">
        <f t="shared" si="120"/>
        <v>Cost-Effective</v>
      </c>
      <c r="BC136" s="167">
        <f t="shared" si="108"/>
        <v>0.69378626051328196</v>
      </c>
      <c r="BD136" s="159" t="str">
        <f t="shared" si="121"/>
        <v>Cost-Effective</v>
      </c>
      <c r="BE136" s="162" t="s">
        <v>173</v>
      </c>
      <c r="BF136" s="162" t="s">
        <v>174</v>
      </c>
      <c r="BG136" s="168">
        <f t="shared" si="109"/>
        <v>0</v>
      </c>
      <c r="BH136" s="168">
        <f t="shared" si="110"/>
        <v>0</v>
      </c>
      <c r="BI136" s="163">
        <f t="shared" si="111"/>
        <v>1</v>
      </c>
      <c r="BJ136" s="163">
        <f t="shared" si="112"/>
        <v>0</v>
      </c>
      <c r="BK136" s="163">
        <f t="shared" si="122"/>
        <v>0</v>
      </c>
      <c r="BL136" s="163">
        <f t="shared" si="123"/>
        <v>0</v>
      </c>
      <c r="BM136" s="163">
        <f t="shared" si="124"/>
        <v>1</v>
      </c>
      <c r="BN136" s="163" t="s">
        <v>157</v>
      </c>
      <c r="BO136" s="162" t="str">
        <f t="shared" si="96"/>
        <v/>
      </c>
      <c r="BP136" s="162" t="s">
        <v>272</v>
      </c>
      <c r="BQ136" s="162" t="s">
        <v>1425</v>
      </c>
    </row>
    <row r="137" spans="1:69">
      <c r="A137" s="159">
        <f t="shared" si="113"/>
        <v>43</v>
      </c>
      <c r="B137" s="159">
        <f t="shared" si="114"/>
        <v>7</v>
      </c>
      <c r="C137" s="160" t="str">
        <f t="shared" si="101"/>
        <v>4307</v>
      </c>
      <c r="D137" s="159" t="s">
        <v>522</v>
      </c>
      <c r="E137" s="159">
        <v>2013</v>
      </c>
      <c r="F137" s="162" t="s">
        <v>523</v>
      </c>
      <c r="G137" s="182" t="s">
        <v>330</v>
      </c>
      <c r="H137" s="163" t="str">
        <f t="shared" si="125"/>
        <v>UM</v>
      </c>
      <c r="I137" s="163" t="s">
        <v>157</v>
      </c>
      <c r="J137" s="180" t="s">
        <v>352</v>
      </c>
      <c r="K137" s="163" t="s">
        <v>183</v>
      </c>
      <c r="L137" s="163" t="s">
        <v>151</v>
      </c>
      <c r="M137" s="163" t="str">
        <f t="shared" si="115"/>
        <v>PCV10 vs NoVax</v>
      </c>
      <c r="N137" s="159" t="s">
        <v>198</v>
      </c>
      <c r="O137" s="159">
        <v>4</v>
      </c>
      <c r="P137" s="162" t="s">
        <v>157</v>
      </c>
      <c r="Q137" s="162" t="s">
        <v>167</v>
      </c>
      <c r="R137" s="162" t="s">
        <v>154</v>
      </c>
      <c r="S137" s="162" t="s">
        <v>155</v>
      </c>
      <c r="T137" s="159">
        <v>2008</v>
      </c>
      <c r="U137" s="165">
        <v>20</v>
      </c>
      <c r="V137" s="165">
        <f>IF(ISNUMBER(U137),U137/VLOOKUP($S137,xRates!$A$1:$AA$267,data!$T137-xRates!$B$1+2,FALSE),U137)</f>
        <v>20</v>
      </c>
      <c r="W137" s="162" t="s">
        <v>524</v>
      </c>
      <c r="Y137" s="165"/>
      <c r="AA137" s="163" t="s">
        <v>148</v>
      </c>
      <c r="AB137" s="162" t="s">
        <v>217</v>
      </c>
      <c r="AC137" s="162" t="s">
        <v>148</v>
      </c>
      <c r="AD137" s="163" t="s">
        <v>157</v>
      </c>
      <c r="AE137" s="162" t="str">
        <f>IF(AD137="No", "", "")</f>
        <v/>
      </c>
      <c r="AF137" s="163" t="s">
        <v>148</v>
      </c>
      <c r="AG137" s="163" t="s">
        <v>148</v>
      </c>
      <c r="AH137" s="163" t="s">
        <v>148</v>
      </c>
      <c r="AJ137" s="162"/>
      <c r="AK137" s="162" t="s">
        <v>531</v>
      </c>
      <c r="AL137" s="163" t="s">
        <v>159</v>
      </c>
      <c r="AM137" s="179">
        <v>6293.05</v>
      </c>
      <c r="AN137" s="179">
        <v>6293.05</v>
      </c>
      <c r="AO137" s="179">
        <f t="shared" si="126"/>
        <v>8831.1836430000003</v>
      </c>
      <c r="AP137" s="163" t="str">
        <f t="shared" ref="AP137:AP197" si="128">IF(AN137="NA", ".", IF(AN137&lt;0,"Cost-Saving",IF(AN137&lt;=AO137,"Cost-Effective",IF(AN137&gt;AO137&amp;AN137&lt;&gt;"NA","Not Cost-Effective","Missing"))))</f>
        <v>Cost-Effective</v>
      </c>
      <c r="AQ137" s="163" t="str">
        <f t="shared" si="102"/>
        <v>Cost-Effective</v>
      </c>
      <c r="AR137" s="167">
        <f t="shared" si="100"/>
        <v>0.71259417246839374</v>
      </c>
      <c r="AS137" s="167">
        <f t="shared" si="103"/>
        <v>1.0900000000000001</v>
      </c>
      <c r="AT137" s="159" t="str">
        <f t="shared" si="116"/>
        <v>Cost-Effective</v>
      </c>
      <c r="AU137" s="167">
        <f t="shared" si="104"/>
        <v>0.71</v>
      </c>
      <c r="AV137" s="162" t="str">
        <f t="shared" si="117"/>
        <v>Not Cost-Effective</v>
      </c>
      <c r="AW137" s="167">
        <f t="shared" si="105"/>
        <v>0.61331405073457201</v>
      </c>
      <c r="AX137" s="159" t="str">
        <f t="shared" si="118"/>
        <v>Not Cost-Effective</v>
      </c>
      <c r="AY137" s="167">
        <f t="shared" si="106"/>
        <v>0.19454672897770822</v>
      </c>
      <c r="AZ137" s="159" t="str">
        <f t="shared" si="119"/>
        <v>Not Cost-Effective</v>
      </c>
      <c r="BA137" s="167">
        <f t="shared" si="107"/>
        <v>1.6739433928535268</v>
      </c>
      <c r="BB137" s="159" t="str">
        <f t="shared" si="120"/>
        <v>Cost-Effective</v>
      </c>
      <c r="BC137" s="167">
        <f t="shared" si="108"/>
        <v>0.69378626051328196</v>
      </c>
      <c r="BD137" s="159" t="str">
        <f t="shared" si="121"/>
        <v>Not Cost-Effective</v>
      </c>
      <c r="BE137" s="162" t="s">
        <v>173</v>
      </c>
      <c r="BF137" s="162" t="s">
        <v>174</v>
      </c>
      <c r="BG137" s="168">
        <f t="shared" si="109"/>
        <v>1</v>
      </c>
      <c r="BH137" s="168">
        <f t="shared" si="110"/>
        <v>0</v>
      </c>
      <c r="BI137" s="163">
        <f t="shared" si="111"/>
        <v>1</v>
      </c>
      <c r="BJ137" s="163">
        <f t="shared" si="112"/>
        <v>1</v>
      </c>
      <c r="BK137" s="163">
        <f t="shared" si="122"/>
        <v>1</v>
      </c>
      <c r="BL137" s="163">
        <f t="shared" si="123"/>
        <v>0</v>
      </c>
      <c r="BM137" s="163">
        <f t="shared" si="124"/>
        <v>4</v>
      </c>
      <c r="BN137" s="163" t="s">
        <v>157</v>
      </c>
      <c r="BO137" s="162" t="str">
        <f t="shared" si="96"/>
        <v/>
      </c>
      <c r="BP137" s="162" t="s">
        <v>272</v>
      </c>
      <c r="BQ137" s="162" t="s">
        <v>1425</v>
      </c>
    </row>
    <row r="138" spans="1:69">
      <c r="A138" s="159">
        <f t="shared" si="113"/>
        <v>43</v>
      </c>
      <c r="B138" s="159">
        <f t="shared" si="114"/>
        <v>8</v>
      </c>
      <c r="C138" s="160" t="str">
        <f t="shared" si="101"/>
        <v>4308</v>
      </c>
      <c r="D138" s="159" t="s">
        <v>522</v>
      </c>
      <c r="E138" s="159">
        <v>2013</v>
      </c>
      <c r="F138" s="162" t="s">
        <v>523</v>
      </c>
      <c r="G138" s="182" t="s">
        <v>330</v>
      </c>
      <c r="H138" s="163" t="str">
        <f t="shared" si="125"/>
        <v>UM</v>
      </c>
      <c r="I138" s="163" t="s">
        <v>157</v>
      </c>
      <c r="J138" s="180" t="s">
        <v>352</v>
      </c>
      <c r="K138" s="163" t="s">
        <v>183</v>
      </c>
      <c r="L138" s="163" t="s">
        <v>151</v>
      </c>
      <c r="M138" s="163" t="str">
        <f t="shared" si="115"/>
        <v>PCV10 vs NoVax</v>
      </c>
      <c r="N138" s="159" t="s">
        <v>198</v>
      </c>
      <c r="O138" s="159">
        <v>4</v>
      </c>
      <c r="P138" s="162" t="s">
        <v>157</v>
      </c>
      <c r="Q138" s="162" t="s">
        <v>167</v>
      </c>
      <c r="R138" s="162" t="s">
        <v>154</v>
      </c>
      <c r="S138" s="162" t="s">
        <v>155</v>
      </c>
      <c r="T138" s="159">
        <v>2008</v>
      </c>
      <c r="U138" s="165">
        <v>20</v>
      </c>
      <c r="V138" s="165">
        <f>IF(ISNUMBER(U138),U138/VLOOKUP($S138,xRates!$A$1:$AA$267,data!$T138-xRates!$B$1+2,FALSE),U138)</f>
        <v>20</v>
      </c>
      <c r="W138" s="162" t="s">
        <v>524</v>
      </c>
      <c r="Y138" s="165"/>
      <c r="AA138" s="163" t="s">
        <v>148</v>
      </c>
      <c r="AB138" s="162" t="s">
        <v>217</v>
      </c>
      <c r="AC138" s="162" t="s">
        <v>148</v>
      </c>
      <c r="AD138" s="163" t="s">
        <v>148</v>
      </c>
      <c r="AE138" s="162" t="s">
        <v>177</v>
      </c>
      <c r="AF138" s="163" t="s">
        <v>148</v>
      </c>
      <c r="AG138" s="163" t="s">
        <v>148</v>
      </c>
      <c r="AH138" s="163" t="s">
        <v>148</v>
      </c>
      <c r="AJ138" s="162"/>
      <c r="AK138" s="162" t="s">
        <v>532</v>
      </c>
      <c r="AL138" s="163" t="s">
        <v>159</v>
      </c>
      <c r="AM138" s="179">
        <v>4024.69</v>
      </c>
      <c r="AN138" s="179">
        <v>4024.69</v>
      </c>
      <c r="AO138" s="179">
        <f t="shared" si="126"/>
        <v>8831.1836430000003</v>
      </c>
      <c r="AP138" s="163" t="str">
        <f t="shared" si="128"/>
        <v>Cost-Effective</v>
      </c>
      <c r="AQ138" s="163" t="str">
        <f t="shared" si="102"/>
        <v>Cost-Effective</v>
      </c>
      <c r="AR138" s="167">
        <f t="shared" si="100"/>
        <v>0.45573619151155953</v>
      </c>
      <c r="AS138" s="167">
        <f t="shared" si="103"/>
        <v>1.0900000000000001</v>
      </c>
      <c r="AT138" s="159" t="str">
        <f t="shared" si="116"/>
        <v>Cost-Effective</v>
      </c>
      <c r="AU138" s="167">
        <f t="shared" si="104"/>
        <v>0.71</v>
      </c>
      <c r="AV138" s="162" t="str">
        <f t="shared" si="117"/>
        <v>Cost-Effective</v>
      </c>
      <c r="AW138" s="167">
        <f t="shared" si="105"/>
        <v>0.61331405073457201</v>
      </c>
      <c r="AX138" s="159" t="str">
        <f t="shared" si="118"/>
        <v>Cost-Effective</v>
      </c>
      <c r="AY138" s="167">
        <f t="shared" si="106"/>
        <v>0.19454672897770822</v>
      </c>
      <c r="AZ138" s="159" t="str">
        <f t="shared" si="119"/>
        <v>Not Cost-Effective</v>
      </c>
      <c r="BA138" s="167">
        <f t="shared" si="107"/>
        <v>1.6739433928535268</v>
      </c>
      <c r="BB138" s="159" t="str">
        <f t="shared" si="120"/>
        <v>Cost-Effective</v>
      </c>
      <c r="BC138" s="167">
        <f t="shared" si="108"/>
        <v>0.69378626051328196</v>
      </c>
      <c r="BD138" s="159" t="str">
        <f t="shared" si="121"/>
        <v>Cost-Effective</v>
      </c>
      <c r="BE138" s="162" t="s">
        <v>173</v>
      </c>
      <c r="BF138" s="162" t="s">
        <v>174</v>
      </c>
      <c r="BG138" s="168">
        <f t="shared" si="109"/>
        <v>0</v>
      </c>
      <c r="BH138" s="168">
        <f t="shared" si="110"/>
        <v>0</v>
      </c>
      <c r="BI138" s="163">
        <f t="shared" si="111"/>
        <v>1</v>
      </c>
      <c r="BJ138" s="163">
        <f t="shared" si="112"/>
        <v>0</v>
      </c>
      <c r="BK138" s="163">
        <f t="shared" si="122"/>
        <v>0</v>
      </c>
      <c r="BL138" s="163">
        <f t="shared" si="123"/>
        <v>0</v>
      </c>
      <c r="BM138" s="163">
        <f t="shared" si="124"/>
        <v>1</v>
      </c>
      <c r="BN138" s="163" t="s">
        <v>157</v>
      </c>
      <c r="BO138" s="162" t="str">
        <f t="shared" si="96"/>
        <v/>
      </c>
      <c r="BP138" s="162" t="s">
        <v>272</v>
      </c>
      <c r="BQ138" s="162" t="s">
        <v>1425</v>
      </c>
    </row>
    <row r="139" spans="1:69">
      <c r="A139" s="159">
        <f t="shared" si="113"/>
        <v>43</v>
      </c>
      <c r="B139" s="159">
        <f t="shared" si="114"/>
        <v>9</v>
      </c>
      <c r="C139" s="160" t="str">
        <f t="shared" si="101"/>
        <v>4309</v>
      </c>
      <c r="D139" s="159" t="s">
        <v>522</v>
      </c>
      <c r="E139" s="159">
        <v>2013</v>
      </c>
      <c r="F139" s="162" t="s">
        <v>523</v>
      </c>
      <c r="G139" s="182" t="s">
        <v>421</v>
      </c>
      <c r="H139" s="163" t="str">
        <f t="shared" si="125"/>
        <v>UM</v>
      </c>
      <c r="I139" s="163" t="s">
        <v>157</v>
      </c>
      <c r="J139" s="180" t="s">
        <v>352</v>
      </c>
      <c r="K139" s="163" t="s">
        <v>183</v>
      </c>
      <c r="L139" s="163" t="s">
        <v>151</v>
      </c>
      <c r="M139" s="163" t="str">
        <f t="shared" si="115"/>
        <v>PCV10 vs NoVax</v>
      </c>
      <c r="N139" s="159" t="s">
        <v>198</v>
      </c>
      <c r="O139" s="159">
        <v>4</v>
      </c>
      <c r="P139" s="162" t="s">
        <v>148</v>
      </c>
      <c r="Q139" s="162" t="s">
        <v>167</v>
      </c>
      <c r="R139" s="162" t="s">
        <v>154</v>
      </c>
      <c r="S139" s="162" t="s">
        <v>155</v>
      </c>
      <c r="T139" s="159">
        <v>2008</v>
      </c>
      <c r="U139" s="165">
        <v>20</v>
      </c>
      <c r="V139" s="165">
        <f>IF(ISNUMBER(U139),U139/VLOOKUP($S139,xRates!$A$1:$AA$267,data!$T139-xRates!$B$1+2,FALSE),U139)</f>
        <v>20</v>
      </c>
      <c r="W139" s="162" t="s">
        <v>524</v>
      </c>
      <c r="Y139" s="165"/>
      <c r="AA139" s="163" t="s">
        <v>157</v>
      </c>
      <c r="AB139" s="162"/>
      <c r="AC139" s="162" t="str">
        <f>IF(AA139="No","","")</f>
        <v/>
      </c>
      <c r="AD139" s="163" t="s">
        <v>157</v>
      </c>
      <c r="AE139" s="162" t="str">
        <f>IF(AD139="No", "", "")</f>
        <v/>
      </c>
      <c r="AF139" s="163" t="s">
        <v>148</v>
      </c>
      <c r="AG139" s="163" t="s">
        <v>148</v>
      </c>
      <c r="AH139" s="163" t="s">
        <v>148</v>
      </c>
      <c r="AJ139" s="162"/>
      <c r="AK139" s="162" t="s">
        <v>533</v>
      </c>
      <c r="AL139" s="163" t="s">
        <v>159</v>
      </c>
      <c r="AM139" s="179">
        <v>4021.37</v>
      </c>
      <c r="AN139" s="179">
        <v>4021.37</v>
      </c>
      <c r="AO139" s="179">
        <f t="shared" si="126"/>
        <v>5472.5365300000003</v>
      </c>
      <c r="AP139" s="163" t="str">
        <f t="shared" si="128"/>
        <v>Cost-Effective</v>
      </c>
      <c r="AQ139" s="163" t="str">
        <f t="shared" si="102"/>
        <v>Cost-Effective</v>
      </c>
      <c r="AR139" s="167">
        <f t="shared" si="100"/>
        <v>0.73482743842004095</v>
      </c>
      <c r="AS139" s="167">
        <f t="shared" si="103"/>
        <v>1.89</v>
      </c>
      <c r="AT139" s="159" t="str">
        <f t="shared" si="116"/>
        <v>Cost-Effective</v>
      </c>
      <c r="AU139" s="167">
        <f t="shared" si="104"/>
        <v>1.17</v>
      </c>
      <c r="AV139" s="162" t="str">
        <f t="shared" si="117"/>
        <v>Cost-Effective</v>
      </c>
      <c r="AW139" s="167">
        <f t="shared" si="105"/>
        <v>0.67142448878179284</v>
      </c>
      <c r="AX139" s="159" t="str">
        <f t="shared" si="118"/>
        <v>Not Cost-Effective</v>
      </c>
      <c r="AY139" s="167">
        <f t="shared" si="106"/>
        <v>0.16670017209696561</v>
      </c>
      <c r="AZ139" s="159" t="str">
        <f t="shared" si="119"/>
        <v>Not Cost-Effective</v>
      </c>
      <c r="BA139" s="167">
        <f t="shared" si="107"/>
        <v>1.3237396338136047</v>
      </c>
      <c r="BB139" s="159" t="str">
        <f t="shared" si="120"/>
        <v>Cost-Effective</v>
      </c>
      <c r="BC139" s="167">
        <f t="shared" si="108"/>
        <v>0.54863988350299309</v>
      </c>
      <c r="BD139" s="159" t="str">
        <f t="shared" si="121"/>
        <v>Not Cost-Effective</v>
      </c>
      <c r="BE139" s="162" t="s">
        <v>173</v>
      </c>
      <c r="BF139" s="162" t="s">
        <v>174</v>
      </c>
      <c r="BG139" s="168">
        <f t="shared" si="109"/>
        <v>0</v>
      </c>
      <c r="BH139" s="168">
        <f t="shared" si="110"/>
        <v>0</v>
      </c>
      <c r="BI139" s="163">
        <f t="shared" si="111"/>
        <v>1</v>
      </c>
      <c r="BJ139" s="163">
        <f t="shared" si="112"/>
        <v>1</v>
      </c>
      <c r="BK139" s="163">
        <f t="shared" si="122"/>
        <v>1</v>
      </c>
      <c r="BL139" s="163">
        <f t="shared" si="123"/>
        <v>0</v>
      </c>
      <c r="BM139" s="163">
        <f t="shared" si="124"/>
        <v>3</v>
      </c>
      <c r="BN139" s="163" t="s">
        <v>157</v>
      </c>
      <c r="BO139" s="162" t="str">
        <f t="shared" si="96"/>
        <v/>
      </c>
      <c r="BP139" s="162" t="s">
        <v>272</v>
      </c>
      <c r="BQ139" s="162" t="s">
        <v>1425</v>
      </c>
    </row>
    <row r="140" spans="1:69">
      <c r="A140" s="159">
        <f t="shared" si="113"/>
        <v>43</v>
      </c>
      <c r="B140" s="159">
        <f t="shared" si="114"/>
        <v>10</v>
      </c>
      <c r="C140" s="160" t="str">
        <f t="shared" si="101"/>
        <v>4310</v>
      </c>
      <c r="D140" s="159" t="s">
        <v>522</v>
      </c>
      <c r="E140" s="159">
        <v>2013</v>
      </c>
      <c r="F140" s="162" t="s">
        <v>523</v>
      </c>
      <c r="G140" s="182" t="s">
        <v>421</v>
      </c>
      <c r="H140" s="163" t="str">
        <f t="shared" si="125"/>
        <v>UM</v>
      </c>
      <c r="I140" s="163" t="s">
        <v>157</v>
      </c>
      <c r="J140" s="180" t="s">
        <v>352</v>
      </c>
      <c r="K140" s="163" t="s">
        <v>183</v>
      </c>
      <c r="L140" s="163" t="s">
        <v>151</v>
      </c>
      <c r="M140" s="163" t="str">
        <f t="shared" si="115"/>
        <v>PCV10 vs NoVax</v>
      </c>
      <c r="N140" s="159" t="s">
        <v>198</v>
      </c>
      <c r="O140" s="159">
        <v>4</v>
      </c>
      <c r="P140" s="162" t="s">
        <v>157</v>
      </c>
      <c r="Q140" s="162" t="s">
        <v>153</v>
      </c>
      <c r="R140" s="162" t="s">
        <v>154</v>
      </c>
      <c r="S140" s="162" t="s">
        <v>155</v>
      </c>
      <c r="T140" s="159">
        <v>2008</v>
      </c>
      <c r="U140" s="165">
        <v>20</v>
      </c>
      <c r="V140" s="165">
        <f>IF(ISNUMBER(U140),U140/VLOOKUP($S140,xRates!$A$1:$AA$267,data!$T140-xRates!$B$1+2,FALSE),U140)</f>
        <v>20</v>
      </c>
      <c r="W140" s="162" t="s">
        <v>524</v>
      </c>
      <c r="Y140" s="165"/>
      <c r="AA140" s="163" t="s">
        <v>157</v>
      </c>
      <c r="AB140" s="162"/>
      <c r="AC140" s="162" t="str">
        <f>IF(AA140="No","","")</f>
        <v/>
      </c>
      <c r="AD140" s="163" t="s">
        <v>157</v>
      </c>
      <c r="AE140" s="162" t="str">
        <f>IF(AD140="No", "", "")</f>
        <v/>
      </c>
      <c r="AF140" s="163" t="s">
        <v>148</v>
      </c>
      <c r="AG140" s="163" t="s">
        <v>148</v>
      </c>
      <c r="AH140" s="163" t="s">
        <v>148</v>
      </c>
      <c r="AJ140" s="162"/>
      <c r="AK140" s="162" t="s">
        <v>534</v>
      </c>
      <c r="AL140" s="163" t="s">
        <v>159</v>
      </c>
      <c r="AM140" s="179">
        <v>2433.3200000000002</v>
      </c>
      <c r="AN140" s="179">
        <v>2433.3200000000002</v>
      </c>
      <c r="AO140" s="179">
        <f t="shared" si="126"/>
        <v>5472.5365300000003</v>
      </c>
      <c r="AP140" s="163" t="str">
        <f t="shared" si="128"/>
        <v>Cost-Effective</v>
      </c>
      <c r="AQ140" s="163" t="str">
        <f t="shared" si="102"/>
        <v>Cost-Effective</v>
      </c>
      <c r="AR140" s="167">
        <f t="shared" si="100"/>
        <v>0.44464207532663103</v>
      </c>
      <c r="AS140" s="167">
        <f t="shared" si="103"/>
        <v>1.89</v>
      </c>
      <c r="AT140" s="159" t="str">
        <f t="shared" si="116"/>
        <v>Cost-Effective</v>
      </c>
      <c r="AU140" s="167">
        <f t="shared" si="104"/>
        <v>1.17</v>
      </c>
      <c r="AV140" s="162" t="str">
        <f t="shared" si="117"/>
        <v>Cost-Effective</v>
      </c>
      <c r="AW140" s="167">
        <f t="shared" si="105"/>
        <v>0.67142448878179284</v>
      </c>
      <c r="AX140" s="159" t="str">
        <f t="shared" si="118"/>
        <v>Cost-Effective</v>
      </c>
      <c r="AY140" s="167">
        <f t="shared" si="106"/>
        <v>0.16670017209696561</v>
      </c>
      <c r="AZ140" s="159" t="str">
        <f t="shared" si="119"/>
        <v>Not Cost-Effective</v>
      </c>
      <c r="BA140" s="167">
        <f t="shared" si="107"/>
        <v>1.3237396338136047</v>
      </c>
      <c r="BB140" s="159" t="str">
        <f t="shared" si="120"/>
        <v>Cost-Effective</v>
      </c>
      <c r="BC140" s="167">
        <f t="shared" si="108"/>
        <v>0.54863988350299309</v>
      </c>
      <c r="BD140" s="159" t="str">
        <f t="shared" si="121"/>
        <v>Cost-Effective</v>
      </c>
      <c r="BE140" s="162" t="s">
        <v>173</v>
      </c>
      <c r="BF140" s="162" t="s">
        <v>174</v>
      </c>
      <c r="BG140" s="168">
        <f t="shared" si="109"/>
        <v>0</v>
      </c>
      <c r="BH140" s="168">
        <f t="shared" si="110"/>
        <v>0</v>
      </c>
      <c r="BI140" s="163">
        <f t="shared" si="111"/>
        <v>1</v>
      </c>
      <c r="BJ140" s="163">
        <f t="shared" si="112"/>
        <v>0</v>
      </c>
      <c r="BK140" s="163">
        <f t="shared" si="122"/>
        <v>0</v>
      </c>
      <c r="BL140" s="163">
        <f t="shared" si="123"/>
        <v>0</v>
      </c>
      <c r="BM140" s="163">
        <f t="shared" si="124"/>
        <v>1</v>
      </c>
      <c r="BN140" s="163" t="s">
        <v>157</v>
      </c>
      <c r="BO140" s="162" t="str">
        <f t="shared" si="96"/>
        <v/>
      </c>
      <c r="BP140" s="162" t="s">
        <v>272</v>
      </c>
      <c r="BQ140" s="162" t="s">
        <v>1425</v>
      </c>
    </row>
    <row r="141" spans="1:69">
      <c r="A141" s="159">
        <f t="shared" si="113"/>
        <v>43</v>
      </c>
      <c r="B141" s="159">
        <f t="shared" si="114"/>
        <v>11</v>
      </c>
      <c r="C141" s="160" t="str">
        <f t="shared" si="101"/>
        <v>4311</v>
      </c>
      <c r="D141" s="159" t="s">
        <v>522</v>
      </c>
      <c r="E141" s="159">
        <v>2013</v>
      </c>
      <c r="F141" s="162" t="s">
        <v>523</v>
      </c>
      <c r="G141" s="182" t="s">
        <v>421</v>
      </c>
      <c r="H141" s="163" t="str">
        <f t="shared" si="125"/>
        <v>UM</v>
      </c>
      <c r="I141" s="163" t="s">
        <v>157</v>
      </c>
      <c r="J141" s="180" t="s">
        <v>352</v>
      </c>
      <c r="K141" s="163" t="s">
        <v>183</v>
      </c>
      <c r="L141" s="163" t="s">
        <v>151</v>
      </c>
      <c r="M141" s="163" t="str">
        <f t="shared" si="115"/>
        <v>PCV10 vs NoVax</v>
      </c>
      <c r="N141" s="159" t="s">
        <v>198</v>
      </c>
      <c r="O141" s="159">
        <v>4</v>
      </c>
      <c r="P141" s="162" t="s">
        <v>157</v>
      </c>
      <c r="Q141" s="162" t="s">
        <v>167</v>
      </c>
      <c r="R141" s="162" t="s">
        <v>154</v>
      </c>
      <c r="S141" s="162" t="s">
        <v>155</v>
      </c>
      <c r="T141" s="159">
        <v>2008</v>
      </c>
      <c r="U141" s="165">
        <v>20</v>
      </c>
      <c r="V141" s="165">
        <f>IF(ISNUMBER(U141),U141/VLOOKUP($S141,xRates!$A$1:$AA$267,data!$T141-xRates!$B$1+2,FALSE),U141)</f>
        <v>20</v>
      </c>
      <c r="W141" s="162" t="s">
        <v>524</v>
      </c>
      <c r="Y141" s="165"/>
      <c r="AA141" s="163" t="s">
        <v>148</v>
      </c>
      <c r="AB141" s="162" t="s">
        <v>217</v>
      </c>
      <c r="AC141" s="162" t="s">
        <v>148</v>
      </c>
      <c r="AD141" s="163" t="s">
        <v>157</v>
      </c>
      <c r="AE141" s="162" t="str">
        <f>IF(AD141="No", "", "")</f>
        <v/>
      </c>
      <c r="AF141" s="163" t="s">
        <v>148</v>
      </c>
      <c r="AG141" s="163" t="s">
        <v>148</v>
      </c>
      <c r="AH141" s="163" t="s">
        <v>148</v>
      </c>
      <c r="AJ141" s="162"/>
      <c r="AK141" s="162" t="s">
        <v>535</v>
      </c>
      <c r="AL141" s="163" t="s">
        <v>159</v>
      </c>
      <c r="AM141" s="179">
        <v>3885.8</v>
      </c>
      <c r="AN141" s="179">
        <v>3885.8</v>
      </c>
      <c r="AO141" s="179">
        <f t="shared" si="126"/>
        <v>5472.5365300000003</v>
      </c>
      <c r="AP141" s="163" t="str">
        <f t="shared" si="128"/>
        <v>Cost-Effective</v>
      </c>
      <c r="AQ141" s="163" t="str">
        <f t="shared" si="102"/>
        <v>Cost-Effective</v>
      </c>
      <c r="AR141" s="167">
        <f t="shared" si="100"/>
        <v>0.71005464809569763</v>
      </c>
      <c r="AS141" s="167">
        <f t="shared" si="103"/>
        <v>1.89</v>
      </c>
      <c r="AT141" s="159" t="str">
        <f t="shared" si="116"/>
        <v>Cost-Effective</v>
      </c>
      <c r="AU141" s="167">
        <f t="shared" si="104"/>
        <v>1.17</v>
      </c>
      <c r="AV141" s="162" t="str">
        <f t="shared" si="117"/>
        <v>Cost-Effective</v>
      </c>
      <c r="AW141" s="167">
        <f t="shared" si="105"/>
        <v>0.67142448878179284</v>
      </c>
      <c r="AX141" s="159" t="str">
        <f t="shared" si="118"/>
        <v>Not Cost-Effective</v>
      </c>
      <c r="AY141" s="167">
        <f t="shared" si="106"/>
        <v>0.16670017209696561</v>
      </c>
      <c r="AZ141" s="159" t="str">
        <f t="shared" si="119"/>
        <v>Not Cost-Effective</v>
      </c>
      <c r="BA141" s="167">
        <f t="shared" si="107"/>
        <v>1.3237396338136047</v>
      </c>
      <c r="BB141" s="159" t="str">
        <f t="shared" si="120"/>
        <v>Cost-Effective</v>
      </c>
      <c r="BC141" s="167">
        <f t="shared" si="108"/>
        <v>0.54863988350299309</v>
      </c>
      <c r="BD141" s="159" t="str">
        <f t="shared" si="121"/>
        <v>Not Cost-Effective</v>
      </c>
      <c r="BE141" s="162" t="s">
        <v>173</v>
      </c>
      <c r="BF141" s="162" t="s">
        <v>174</v>
      </c>
      <c r="BG141" s="168">
        <f t="shared" si="109"/>
        <v>0</v>
      </c>
      <c r="BH141" s="168">
        <f t="shared" si="110"/>
        <v>0</v>
      </c>
      <c r="BI141" s="163">
        <f t="shared" si="111"/>
        <v>1</v>
      </c>
      <c r="BJ141" s="163">
        <f t="shared" si="112"/>
        <v>1</v>
      </c>
      <c r="BK141" s="163">
        <f t="shared" si="122"/>
        <v>1</v>
      </c>
      <c r="BL141" s="163">
        <f t="shared" si="123"/>
        <v>0</v>
      </c>
      <c r="BM141" s="163">
        <f t="shared" si="124"/>
        <v>3</v>
      </c>
      <c r="BN141" s="163" t="s">
        <v>157</v>
      </c>
      <c r="BO141" s="162" t="str">
        <f t="shared" si="96"/>
        <v/>
      </c>
      <c r="BP141" s="162" t="s">
        <v>272</v>
      </c>
      <c r="BQ141" s="162" t="s">
        <v>1425</v>
      </c>
    </row>
    <row r="142" spans="1:69">
      <c r="A142" s="159">
        <f t="shared" si="113"/>
        <v>43</v>
      </c>
      <c r="B142" s="159">
        <f t="shared" si="114"/>
        <v>12</v>
      </c>
      <c r="C142" s="160" t="str">
        <f t="shared" si="101"/>
        <v>4312</v>
      </c>
      <c r="D142" s="159" t="s">
        <v>522</v>
      </c>
      <c r="E142" s="159">
        <v>2013</v>
      </c>
      <c r="F142" s="162" t="s">
        <v>523</v>
      </c>
      <c r="G142" s="182" t="s">
        <v>421</v>
      </c>
      <c r="H142" s="163" t="str">
        <f t="shared" si="125"/>
        <v>UM</v>
      </c>
      <c r="I142" s="163" t="s">
        <v>157</v>
      </c>
      <c r="J142" s="180" t="s">
        <v>352</v>
      </c>
      <c r="K142" s="163" t="s">
        <v>183</v>
      </c>
      <c r="L142" s="163" t="s">
        <v>151</v>
      </c>
      <c r="M142" s="163" t="str">
        <f t="shared" si="115"/>
        <v>PCV10 vs NoVax</v>
      </c>
      <c r="N142" s="159" t="s">
        <v>198</v>
      </c>
      <c r="O142" s="159">
        <v>4</v>
      </c>
      <c r="P142" s="162" t="s">
        <v>157</v>
      </c>
      <c r="Q142" s="162" t="s">
        <v>167</v>
      </c>
      <c r="R142" s="162" t="s">
        <v>154</v>
      </c>
      <c r="S142" s="162" t="s">
        <v>155</v>
      </c>
      <c r="T142" s="159">
        <v>2008</v>
      </c>
      <c r="U142" s="165">
        <v>20</v>
      </c>
      <c r="V142" s="165">
        <f>IF(ISNUMBER(U142),U142/VLOOKUP($S142,xRates!$A$1:$AA$267,data!$T142-xRates!$B$1+2,FALSE),U142)</f>
        <v>20</v>
      </c>
      <c r="W142" s="162" t="s">
        <v>524</v>
      </c>
      <c r="Y142" s="165"/>
      <c r="AA142" s="163" t="s">
        <v>148</v>
      </c>
      <c r="AB142" s="162" t="s">
        <v>217</v>
      </c>
      <c r="AC142" s="162" t="s">
        <v>148</v>
      </c>
      <c r="AD142" s="163" t="s">
        <v>148</v>
      </c>
      <c r="AE142" s="162" t="s">
        <v>177</v>
      </c>
      <c r="AF142" s="163" t="s">
        <v>148</v>
      </c>
      <c r="AG142" s="163" t="s">
        <v>148</v>
      </c>
      <c r="AH142" s="163" t="s">
        <v>148</v>
      </c>
      <c r="AJ142" s="162"/>
      <c r="AK142" s="162" t="s">
        <v>536</v>
      </c>
      <c r="AL142" s="163" t="s">
        <v>159</v>
      </c>
      <c r="AM142" s="179">
        <v>2295.77</v>
      </c>
      <c r="AN142" s="179">
        <v>2295.77</v>
      </c>
      <c r="AO142" s="179">
        <f t="shared" si="126"/>
        <v>5472.5365300000003</v>
      </c>
      <c r="AP142" s="163" t="str">
        <f t="shared" si="128"/>
        <v>Cost-Effective</v>
      </c>
      <c r="AQ142" s="163" t="str">
        <f t="shared" si="102"/>
        <v>Cost-Effective</v>
      </c>
      <c r="AR142" s="167">
        <f t="shared" si="100"/>
        <v>0.41950747837219093</v>
      </c>
      <c r="AS142" s="167">
        <f t="shared" si="103"/>
        <v>1.89</v>
      </c>
      <c r="AT142" s="159" t="str">
        <f t="shared" si="116"/>
        <v>Cost-Effective</v>
      </c>
      <c r="AU142" s="167">
        <f t="shared" si="104"/>
        <v>1.17</v>
      </c>
      <c r="AV142" s="162" t="str">
        <f t="shared" si="117"/>
        <v>Cost-Effective</v>
      </c>
      <c r="AW142" s="167">
        <f t="shared" si="105"/>
        <v>0.67142448878179284</v>
      </c>
      <c r="AX142" s="159" t="str">
        <f t="shared" si="118"/>
        <v>Cost-Effective</v>
      </c>
      <c r="AY142" s="167">
        <f t="shared" si="106"/>
        <v>0.16670017209696561</v>
      </c>
      <c r="AZ142" s="159" t="str">
        <f t="shared" si="119"/>
        <v>Not Cost-Effective</v>
      </c>
      <c r="BA142" s="167">
        <f t="shared" si="107"/>
        <v>1.3237396338136047</v>
      </c>
      <c r="BB142" s="159" t="str">
        <f t="shared" si="120"/>
        <v>Cost-Effective</v>
      </c>
      <c r="BC142" s="167">
        <f t="shared" si="108"/>
        <v>0.54863988350299309</v>
      </c>
      <c r="BD142" s="159" t="str">
        <f t="shared" si="121"/>
        <v>Cost-Effective</v>
      </c>
      <c r="BE142" s="162" t="s">
        <v>173</v>
      </c>
      <c r="BF142" s="162" t="s">
        <v>174</v>
      </c>
      <c r="BG142" s="168">
        <f t="shared" si="109"/>
        <v>0</v>
      </c>
      <c r="BH142" s="168">
        <f t="shared" si="110"/>
        <v>0</v>
      </c>
      <c r="BI142" s="163">
        <f t="shared" si="111"/>
        <v>1</v>
      </c>
      <c r="BJ142" s="163">
        <f t="shared" si="112"/>
        <v>0</v>
      </c>
      <c r="BK142" s="163">
        <f t="shared" si="122"/>
        <v>0</v>
      </c>
      <c r="BL142" s="163">
        <f t="shared" si="123"/>
        <v>0</v>
      </c>
      <c r="BM142" s="163">
        <f t="shared" si="124"/>
        <v>1</v>
      </c>
      <c r="BN142" s="163" t="s">
        <v>157</v>
      </c>
      <c r="BO142" s="162" t="str">
        <f t="shared" si="96"/>
        <v/>
      </c>
      <c r="BP142" s="162" t="s">
        <v>272</v>
      </c>
      <c r="BQ142" s="162" t="s">
        <v>1425</v>
      </c>
    </row>
    <row r="143" spans="1:69">
      <c r="A143" s="159">
        <f t="shared" si="113"/>
        <v>43</v>
      </c>
      <c r="B143" s="159">
        <f t="shared" si="114"/>
        <v>13</v>
      </c>
      <c r="C143" s="160" t="str">
        <f t="shared" si="101"/>
        <v>4313</v>
      </c>
      <c r="D143" s="159" t="s">
        <v>522</v>
      </c>
      <c r="E143" s="159">
        <v>2013</v>
      </c>
      <c r="F143" s="162" t="s">
        <v>523</v>
      </c>
      <c r="G143" s="182" t="s">
        <v>537</v>
      </c>
      <c r="H143" s="163" t="str">
        <f t="shared" si="125"/>
        <v>UM</v>
      </c>
      <c r="I143" s="163" t="s">
        <v>157</v>
      </c>
      <c r="J143" s="180" t="s">
        <v>352</v>
      </c>
      <c r="K143" s="163" t="s">
        <v>183</v>
      </c>
      <c r="L143" s="163" t="s">
        <v>151</v>
      </c>
      <c r="M143" s="163" t="str">
        <f t="shared" si="115"/>
        <v>PCV10 vs NoVax</v>
      </c>
      <c r="N143" s="159" t="s">
        <v>198</v>
      </c>
      <c r="O143" s="159">
        <v>4</v>
      </c>
      <c r="P143" s="162" t="s">
        <v>148</v>
      </c>
      <c r="Q143" s="162" t="s">
        <v>167</v>
      </c>
      <c r="R143" s="162" t="s">
        <v>154</v>
      </c>
      <c r="S143" s="162" t="s">
        <v>155</v>
      </c>
      <c r="T143" s="159">
        <v>2008</v>
      </c>
      <c r="U143" s="165">
        <v>20</v>
      </c>
      <c r="V143" s="165">
        <f>IF(ISNUMBER(U143),U143/VLOOKUP($S143,xRates!$A$1:$AA$267,data!$T143-xRates!$B$1+2,FALSE),U143)</f>
        <v>20</v>
      </c>
      <c r="W143" s="162" t="s">
        <v>524</v>
      </c>
      <c r="Y143" s="165"/>
      <c r="AA143" s="163" t="s">
        <v>157</v>
      </c>
      <c r="AB143" s="162"/>
      <c r="AC143" s="162" t="str">
        <f>IF(AA143="No","","")</f>
        <v/>
      </c>
      <c r="AD143" s="163" t="s">
        <v>157</v>
      </c>
      <c r="AE143" s="162" t="str">
        <f>IF(AD143="No", "", "")</f>
        <v/>
      </c>
      <c r="AF143" s="163" t="s">
        <v>148</v>
      </c>
      <c r="AG143" s="163" t="s">
        <v>148</v>
      </c>
      <c r="AH143" s="163" t="s">
        <v>148</v>
      </c>
      <c r="AJ143" s="162"/>
      <c r="AK143" s="162" t="s">
        <v>538</v>
      </c>
      <c r="AL143" s="163" t="s">
        <v>159</v>
      </c>
      <c r="AM143" s="179">
        <v>4594.33</v>
      </c>
      <c r="AN143" s="179">
        <v>4594.33</v>
      </c>
      <c r="AO143" s="179">
        <f t="shared" si="126"/>
        <v>10016.57121</v>
      </c>
      <c r="AP143" s="163" t="str">
        <f t="shared" si="128"/>
        <v>Cost-Effective</v>
      </c>
      <c r="AQ143" s="163" t="str">
        <f t="shared" si="102"/>
        <v>Cost-Effective</v>
      </c>
      <c r="AR143" s="167">
        <f t="shared" si="100"/>
        <v>0.45867292346639243</v>
      </c>
      <c r="AS143" s="167">
        <f t="shared" si="103"/>
        <v>0.97</v>
      </c>
      <c r="AT143" s="159" t="str">
        <f t="shared" si="116"/>
        <v>Cost-Effective</v>
      </c>
      <c r="AU143" s="167">
        <f t="shared" si="104"/>
        <v>0.64</v>
      </c>
      <c r="AV143" s="162" t="str">
        <f t="shared" si="117"/>
        <v>Cost-Effective</v>
      </c>
      <c r="AW143" s="167">
        <f t="shared" si="105"/>
        <v>0.6292666176774443</v>
      </c>
      <c r="AX143" s="159" t="str">
        <f t="shared" si="118"/>
        <v>Cost-Effective</v>
      </c>
      <c r="AY143" s="167">
        <f t="shared" si="106"/>
        <v>0.22470477827865473</v>
      </c>
      <c r="AZ143" s="159" t="str">
        <f t="shared" si="119"/>
        <v>Not Cost-Effective</v>
      </c>
      <c r="BA143" s="167">
        <f t="shared" si="107"/>
        <v>0.92216934171082232</v>
      </c>
      <c r="BB143" s="159" t="str">
        <f t="shared" si="120"/>
        <v>Cost-Effective</v>
      </c>
      <c r="BC143" s="167">
        <f t="shared" si="108"/>
        <v>0.38219376705822333</v>
      </c>
      <c r="BD143" s="159" t="str">
        <f t="shared" si="121"/>
        <v>Not Cost-Effective</v>
      </c>
      <c r="BE143" s="162" t="s">
        <v>173</v>
      </c>
      <c r="BF143" s="162" t="s">
        <v>174</v>
      </c>
      <c r="BG143" s="168">
        <f t="shared" si="109"/>
        <v>0</v>
      </c>
      <c r="BH143" s="168">
        <f t="shared" si="110"/>
        <v>0</v>
      </c>
      <c r="BI143" s="163">
        <f t="shared" si="111"/>
        <v>1</v>
      </c>
      <c r="BJ143" s="163">
        <f t="shared" si="112"/>
        <v>0</v>
      </c>
      <c r="BK143" s="163">
        <f t="shared" si="122"/>
        <v>1</v>
      </c>
      <c r="BL143" s="163">
        <f t="shared" si="123"/>
        <v>0</v>
      </c>
      <c r="BM143" s="163">
        <f t="shared" si="124"/>
        <v>2</v>
      </c>
      <c r="BN143" s="163" t="s">
        <v>157</v>
      </c>
      <c r="BO143" s="162" t="str">
        <f t="shared" si="96"/>
        <v/>
      </c>
      <c r="BP143" s="162" t="s">
        <v>272</v>
      </c>
      <c r="BQ143" s="162" t="s">
        <v>1425</v>
      </c>
    </row>
    <row r="144" spans="1:69">
      <c r="A144" s="159">
        <f t="shared" si="113"/>
        <v>43</v>
      </c>
      <c r="B144" s="159">
        <f t="shared" si="114"/>
        <v>14</v>
      </c>
      <c r="C144" s="160" t="str">
        <f t="shared" si="101"/>
        <v>4314</v>
      </c>
      <c r="D144" s="159" t="s">
        <v>522</v>
      </c>
      <c r="E144" s="159">
        <v>2013</v>
      </c>
      <c r="F144" s="162" t="s">
        <v>523</v>
      </c>
      <c r="G144" s="182" t="s">
        <v>537</v>
      </c>
      <c r="H144" s="163" t="str">
        <f t="shared" si="125"/>
        <v>UM</v>
      </c>
      <c r="I144" s="163" t="s">
        <v>157</v>
      </c>
      <c r="J144" s="180" t="s">
        <v>352</v>
      </c>
      <c r="K144" s="163" t="s">
        <v>183</v>
      </c>
      <c r="L144" s="163" t="s">
        <v>151</v>
      </c>
      <c r="M144" s="163" t="str">
        <f t="shared" si="115"/>
        <v>PCV10 vs NoVax</v>
      </c>
      <c r="N144" s="159" t="s">
        <v>198</v>
      </c>
      <c r="O144" s="159">
        <v>4</v>
      </c>
      <c r="P144" s="162" t="s">
        <v>157</v>
      </c>
      <c r="Q144" s="162" t="s">
        <v>153</v>
      </c>
      <c r="R144" s="162" t="s">
        <v>154</v>
      </c>
      <c r="S144" s="162" t="s">
        <v>155</v>
      </c>
      <c r="T144" s="159">
        <v>2008</v>
      </c>
      <c r="U144" s="165">
        <v>20</v>
      </c>
      <c r="V144" s="165">
        <f>IF(ISNUMBER(U144),U144/VLOOKUP($S144,xRates!$A$1:$AA$267,data!$T144-xRates!$B$1+2,FALSE),U144)</f>
        <v>20</v>
      </c>
      <c r="W144" s="162" t="s">
        <v>524</v>
      </c>
      <c r="Y144" s="165"/>
      <c r="AA144" s="163" t="s">
        <v>157</v>
      </c>
      <c r="AB144" s="162"/>
      <c r="AC144" s="162" t="str">
        <f>IF(AA144="No","","")</f>
        <v/>
      </c>
      <c r="AD144" s="163" t="s">
        <v>157</v>
      </c>
      <c r="AE144" s="162" t="str">
        <f>IF(AD144="No", "", "")</f>
        <v/>
      </c>
      <c r="AF144" s="163" t="s">
        <v>148</v>
      </c>
      <c r="AG144" s="163" t="s">
        <v>148</v>
      </c>
      <c r="AH144" s="163" t="s">
        <v>148</v>
      </c>
      <c r="AJ144" s="162"/>
      <c r="AK144" s="162" t="s">
        <v>539</v>
      </c>
      <c r="AL144" s="163" t="s">
        <v>159</v>
      </c>
      <c r="AM144" s="179">
        <v>3243.41</v>
      </c>
      <c r="AN144" s="179">
        <v>3243.41</v>
      </c>
      <c r="AO144" s="179">
        <f t="shared" si="126"/>
        <v>10016.57121</v>
      </c>
      <c r="AP144" s="163" t="str">
        <f t="shared" si="128"/>
        <v>Cost-Effective</v>
      </c>
      <c r="AQ144" s="163" t="str">
        <f t="shared" si="102"/>
        <v>Cost-Effective</v>
      </c>
      <c r="AR144" s="167">
        <f t="shared" si="100"/>
        <v>0.32380441690086081</v>
      </c>
      <c r="AS144" s="167">
        <f t="shared" si="103"/>
        <v>0.97</v>
      </c>
      <c r="AT144" s="159" t="str">
        <f t="shared" si="116"/>
        <v>Cost-Effective</v>
      </c>
      <c r="AU144" s="167">
        <f t="shared" si="104"/>
        <v>0.64</v>
      </c>
      <c r="AV144" s="162" t="str">
        <f t="shared" si="117"/>
        <v>Cost-Effective</v>
      </c>
      <c r="AW144" s="167">
        <f t="shared" si="105"/>
        <v>0.6292666176774443</v>
      </c>
      <c r="AX144" s="159" t="str">
        <f t="shared" si="118"/>
        <v>Cost-Effective</v>
      </c>
      <c r="AY144" s="167">
        <f t="shared" si="106"/>
        <v>0.22470477827865473</v>
      </c>
      <c r="AZ144" s="159" t="str">
        <f t="shared" si="119"/>
        <v>Not Cost-Effective</v>
      </c>
      <c r="BA144" s="167">
        <f t="shared" si="107"/>
        <v>0.92216934171082232</v>
      </c>
      <c r="BB144" s="159" t="str">
        <f t="shared" si="120"/>
        <v>Cost-Effective</v>
      </c>
      <c r="BC144" s="167">
        <f t="shared" si="108"/>
        <v>0.38219376705822333</v>
      </c>
      <c r="BD144" s="159" t="str">
        <f t="shared" si="121"/>
        <v>Cost-Effective</v>
      </c>
      <c r="BE144" s="162" t="s">
        <v>173</v>
      </c>
      <c r="BF144" s="162" t="s">
        <v>174</v>
      </c>
      <c r="BG144" s="168">
        <f t="shared" si="109"/>
        <v>0</v>
      </c>
      <c r="BH144" s="168">
        <f t="shared" si="110"/>
        <v>0</v>
      </c>
      <c r="BI144" s="163">
        <f t="shared" si="111"/>
        <v>1</v>
      </c>
      <c r="BJ144" s="163">
        <f t="shared" si="112"/>
        <v>0</v>
      </c>
      <c r="BK144" s="163">
        <f t="shared" si="122"/>
        <v>0</v>
      </c>
      <c r="BL144" s="163">
        <f t="shared" si="123"/>
        <v>0</v>
      </c>
      <c r="BM144" s="163">
        <f t="shared" si="124"/>
        <v>1</v>
      </c>
      <c r="BN144" s="163" t="s">
        <v>157</v>
      </c>
      <c r="BO144" s="162" t="str">
        <f t="shared" si="96"/>
        <v/>
      </c>
      <c r="BP144" s="162" t="s">
        <v>272</v>
      </c>
      <c r="BQ144" s="162" t="s">
        <v>1425</v>
      </c>
    </row>
    <row r="145" spans="1:69">
      <c r="A145" s="159">
        <f t="shared" si="113"/>
        <v>43</v>
      </c>
      <c r="B145" s="159">
        <f t="shared" si="114"/>
        <v>15</v>
      </c>
      <c r="C145" s="160" t="str">
        <f t="shared" si="101"/>
        <v>4315</v>
      </c>
      <c r="D145" s="159" t="s">
        <v>522</v>
      </c>
      <c r="E145" s="159">
        <v>2013</v>
      </c>
      <c r="F145" s="162" t="s">
        <v>523</v>
      </c>
      <c r="G145" s="182" t="s">
        <v>537</v>
      </c>
      <c r="H145" s="163" t="str">
        <f t="shared" si="125"/>
        <v>UM</v>
      </c>
      <c r="I145" s="163" t="s">
        <v>157</v>
      </c>
      <c r="J145" s="180" t="s">
        <v>352</v>
      </c>
      <c r="K145" s="163" t="s">
        <v>183</v>
      </c>
      <c r="L145" s="163" t="s">
        <v>151</v>
      </c>
      <c r="M145" s="163" t="str">
        <f t="shared" si="115"/>
        <v>PCV10 vs NoVax</v>
      </c>
      <c r="N145" s="159" t="s">
        <v>198</v>
      </c>
      <c r="O145" s="159">
        <v>4</v>
      </c>
      <c r="P145" s="162" t="s">
        <v>157</v>
      </c>
      <c r="Q145" s="162" t="s">
        <v>167</v>
      </c>
      <c r="R145" s="162" t="s">
        <v>154</v>
      </c>
      <c r="S145" s="162" t="s">
        <v>155</v>
      </c>
      <c r="T145" s="159">
        <v>2008</v>
      </c>
      <c r="U145" s="165">
        <v>20</v>
      </c>
      <c r="V145" s="165">
        <f>IF(ISNUMBER(U145),U145/VLOOKUP($S145,xRates!$A$1:$AA$267,data!$T145-xRates!$B$1+2,FALSE),U145)</f>
        <v>20</v>
      </c>
      <c r="W145" s="162" t="s">
        <v>524</v>
      </c>
      <c r="Y145" s="165"/>
      <c r="AA145" s="163" t="s">
        <v>148</v>
      </c>
      <c r="AB145" s="162" t="s">
        <v>217</v>
      </c>
      <c r="AC145" s="162" t="s">
        <v>148</v>
      </c>
      <c r="AD145" s="163" t="s">
        <v>157</v>
      </c>
      <c r="AE145" s="162" t="str">
        <f>IF(AD145="No", "", "")</f>
        <v/>
      </c>
      <c r="AF145" s="163" t="s">
        <v>148</v>
      </c>
      <c r="AG145" s="163" t="s">
        <v>148</v>
      </c>
      <c r="AH145" s="163" t="s">
        <v>148</v>
      </c>
      <c r="AJ145" s="162"/>
      <c r="AK145" s="162" t="s">
        <v>540</v>
      </c>
      <c r="AL145" s="163" t="s">
        <v>159</v>
      </c>
      <c r="AM145" s="179">
        <v>4144.01</v>
      </c>
      <c r="AN145" s="179">
        <v>4144.01</v>
      </c>
      <c r="AO145" s="179">
        <f t="shared" si="126"/>
        <v>10016.57121</v>
      </c>
      <c r="AP145" s="163" t="str">
        <f t="shared" si="128"/>
        <v>Cost-Effective</v>
      </c>
      <c r="AQ145" s="163" t="str">
        <f t="shared" si="102"/>
        <v>Cost-Effective</v>
      </c>
      <c r="AR145" s="167">
        <f t="shared" si="100"/>
        <v>0.41371542348372126</v>
      </c>
      <c r="AS145" s="167">
        <f t="shared" si="103"/>
        <v>0.97</v>
      </c>
      <c r="AT145" s="159" t="str">
        <f t="shared" si="116"/>
        <v>Cost-Effective</v>
      </c>
      <c r="AU145" s="167">
        <f t="shared" si="104"/>
        <v>0.64</v>
      </c>
      <c r="AV145" s="162" t="str">
        <f t="shared" si="117"/>
        <v>Cost-Effective</v>
      </c>
      <c r="AW145" s="167">
        <f t="shared" si="105"/>
        <v>0.6292666176774443</v>
      </c>
      <c r="AX145" s="159" t="str">
        <f t="shared" si="118"/>
        <v>Cost-Effective</v>
      </c>
      <c r="AY145" s="167">
        <f t="shared" si="106"/>
        <v>0.22470477827865473</v>
      </c>
      <c r="AZ145" s="159" t="str">
        <f t="shared" si="119"/>
        <v>Not Cost-Effective</v>
      </c>
      <c r="BA145" s="167">
        <f t="shared" si="107"/>
        <v>0.92216934171082232</v>
      </c>
      <c r="BB145" s="159" t="str">
        <f t="shared" si="120"/>
        <v>Cost-Effective</v>
      </c>
      <c r="BC145" s="167">
        <f t="shared" si="108"/>
        <v>0.38219376705822333</v>
      </c>
      <c r="BD145" s="159" t="str">
        <f t="shared" si="121"/>
        <v>Not Cost-Effective</v>
      </c>
      <c r="BE145" s="162" t="s">
        <v>173</v>
      </c>
      <c r="BF145" s="162" t="s">
        <v>174</v>
      </c>
      <c r="BG145" s="168">
        <f t="shared" si="109"/>
        <v>0</v>
      </c>
      <c r="BH145" s="168">
        <f t="shared" si="110"/>
        <v>0</v>
      </c>
      <c r="BI145" s="163">
        <f t="shared" si="111"/>
        <v>1</v>
      </c>
      <c r="BJ145" s="163">
        <f t="shared" si="112"/>
        <v>0</v>
      </c>
      <c r="BK145" s="163">
        <f t="shared" si="122"/>
        <v>1</v>
      </c>
      <c r="BL145" s="163">
        <f t="shared" si="123"/>
        <v>0</v>
      </c>
      <c r="BM145" s="163">
        <f t="shared" si="124"/>
        <v>2</v>
      </c>
      <c r="BN145" s="163" t="s">
        <v>157</v>
      </c>
      <c r="BO145" s="162" t="str">
        <f t="shared" si="96"/>
        <v/>
      </c>
      <c r="BP145" s="162" t="s">
        <v>272</v>
      </c>
      <c r="BQ145" s="162" t="s">
        <v>1425</v>
      </c>
    </row>
    <row r="146" spans="1:69">
      <c r="A146" s="159">
        <f t="shared" si="113"/>
        <v>43</v>
      </c>
      <c r="B146" s="159">
        <f t="shared" si="114"/>
        <v>16</v>
      </c>
      <c r="C146" s="160" t="str">
        <f t="shared" si="101"/>
        <v>4316</v>
      </c>
      <c r="D146" s="159" t="s">
        <v>522</v>
      </c>
      <c r="E146" s="159">
        <v>2013</v>
      </c>
      <c r="F146" s="162" t="s">
        <v>523</v>
      </c>
      <c r="G146" s="182" t="s">
        <v>537</v>
      </c>
      <c r="H146" s="163" t="str">
        <f t="shared" si="125"/>
        <v>UM</v>
      </c>
      <c r="I146" s="163" t="s">
        <v>157</v>
      </c>
      <c r="J146" s="180" t="s">
        <v>352</v>
      </c>
      <c r="K146" s="163" t="s">
        <v>183</v>
      </c>
      <c r="L146" s="163" t="s">
        <v>151</v>
      </c>
      <c r="M146" s="163" t="str">
        <f t="shared" si="115"/>
        <v>PCV10 vs NoVax</v>
      </c>
      <c r="N146" s="159" t="s">
        <v>198</v>
      </c>
      <c r="O146" s="159">
        <v>4</v>
      </c>
      <c r="P146" s="162" t="s">
        <v>157</v>
      </c>
      <c r="Q146" s="162" t="s">
        <v>167</v>
      </c>
      <c r="R146" s="162" t="s">
        <v>154</v>
      </c>
      <c r="S146" s="162" t="s">
        <v>155</v>
      </c>
      <c r="T146" s="159">
        <v>2008</v>
      </c>
      <c r="U146" s="165">
        <v>20</v>
      </c>
      <c r="V146" s="165">
        <f>IF(ISNUMBER(U146),U146/VLOOKUP($S146,xRates!$A$1:$AA$267,data!$T146-xRates!$B$1+2,FALSE),U146)</f>
        <v>20</v>
      </c>
      <c r="W146" s="162" t="s">
        <v>524</v>
      </c>
      <c r="Y146" s="165"/>
      <c r="AA146" s="163" t="s">
        <v>148</v>
      </c>
      <c r="AB146" s="162" t="s">
        <v>217</v>
      </c>
      <c r="AC146" s="162" t="s">
        <v>148</v>
      </c>
      <c r="AD146" s="163" t="s">
        <v>148</v>
      </c>
      <c r="AE146" s="162" t="s">
        <v>177</v>
      </c>
      <c r="AF146" s="163" t="s">
        <v>148</v>
      </c>
      <c r="AG146" s="163" t="s">
        <v>148</v>
      </c>
      <c r="AH146" s="163" t="s">
        <v>148</v>
      </c>
      <c r="AJ146" s="162"/>
      <c r="AK146" s="162" t="s">
        <v>541</v>
      </c>
      <c r="AL146" s="163" t="s">
        <v>159</v>
      </c>
      <c r="AM146" s="179">
        <v>2790.71</v>
      </c>
      <c r="AN146" s="179">
        <v>2790.71</v>
      </c>
      <c r="AO146" s="179">
        <f t="shared" si="126"/>
        <v>10016.57121</v>
      </c>
      <c r="AP146" s="163" t="str">
        <f t="shared" si="128"/>
        <v>Cost-Effective</v>
      </c>
      <c r="AQ146" s="163" t="str">
        <f t="shared" si="102"/>
        <v>Cost-Effective</v>
      </c>
      <c r="AR146" s="167">
        <f t="shared" si="100"/>
        <v>0.27860931066050892</v>
      </c>
      <c r="AS146" s="167">
        <f t="shared" si="103"/>
        <v>0.97</v>
      </c>
      <c r="AT146" s="159" t="str">
        <f t="shared" si="116"/>
        <v>Cost-Effective</v>
      </c>
      <c r="AU146" s="167">
        <f t="shared" si="104"/>
        <v>0.64</v>
      </c>
      <c r="AV146" s="162" t="str">
        <f t="shared" si="117"/>
        <v>Cost-Effective</v>
      </c>
      <c r="AW146" s="167">
        <f t="shared" si="105"/>
        <v>0.6292666176774443</v>
      </c>
      <c r="AX146" s="159" t="str">
        <f t="shared" si="118"/>
        <v>Cost-Effective</v>
      </c>
      <c r="AY146" s="167">
        <f t="shared" si="106"/>
        <v>0.22470477827865473</v>
      </c>
      <c r="AZ146" s="159" t="str">
        <f t="shared" si="119"/>
        <v>Not Cost-Effective</v>
      </c>
      <c r="BA146" s="167">
        <f t="shared" si="107"/>
        <v>0.92216934171082232</v>
      </c>
      <c r="BB146" s="159" t="str">
        <f t="shared" si="120"/>
        <v>Cost-Effective</v>
      </c>
      <c r="BC146" s="167">
        <f t="shared" si="108"/>
        <v>0.38219376705822333</v>
      </c>
      <c r="BD146" s="159" t="str">
        <f t="shared" si="121"/>
        <v>Cost-Effective</v>
      </c>
      <c r="BE146" s="162" t="s">
        <v>173</v>
      </c>
      <c r="BF146" s="162" t="s">
        <v>174</v>
      </c>
      <c r="BG146" s="168">
        <f t="shared" si="109"/>
        <v>0</v>
      </c>
      <c r="BH146" s="168">
        <f t="shared" si="110"/>
        <v>0</v>
      </c>
      <c r="BI146" s="163">
        <f t="shared" si="111"/>
        <v>1</v>
      </c>
      <c r="BJ146" s="163">
        <f t="shared" si="112"/>
        <v>0</v>
      </c>
      <c r="BK146" s="163">
        <f t="shared" si="122"/>
        <v>0</v>
      </c>
      <c r="BL146" s="163">
        <f t="shared" si="123"/>
        <v>0</v>
      </c>
      <c r="BM146" s="163">
        <f t="shared" si="124"/>
        <v>1</v>
      </c>
      <c r="BN146" s="163" t="s">
        <v>157</v>
      </c>
      <c r="BO146" s="162" t="str">
        <f t="shared" si="96"/>
        <v/>
      </c>
      <c r="BP146" s="162" t="s">
        <v>272</v>
      </c>
      <c r="BQ146" s="162" t="s">
        <v>1425</v>
      </c>
    </row>
    <row r="147" spans="1:69">
      <c r="A147" s="159">
        <f t="shared" si="113"/>
        <v>43</v>
      </c>
      <c r="B147" s="159">
        <f t="shared" si="114"/>
        <v>17</v>
      </c>
      <c r="C147" s="160" t="str">
        <f t="shared" si="101"/>
        <v>4317</v>
      </c>
      <c r="D147" s="159" t="s">
        <v>522</v>
      </c>
      <c r="E147" s="159">
        <v>2013</v>
      </c>
      <c r="F147" s="162" t="s">
        <v>523</v>
      </c>
      <c r="G147" s="182" t="s">
        <v>404</v>
      </c>
      <c r="H147" s="163" t="str">
        <f t="shared" si="125"/>
        <v>UM</v>
      </c>
      <c r="I147" s="163" t="s">
        <v>157</v>
      </c>
      <c r="J147" s="180" t="s">
        <v>352</v>
      </c>
      <c r="K147" s="163" t="s">
        <v>183</v>
      </c>
      <c r="L147" s="163" t="s">
        <v>151</v>
      </c>
      <c r="M147" s="163" t="str">
        <f t="shared" si="115"/>
        <v>PCV10 vs NoVax</v>
      </c>
      <c r="N147" s="159" t="s">
        <v>198</v>
      </c>
      <c r="O147" s="159">
        <v>4</v>
      </c>
      <c r="P147" s="162" t="s">
        <v>148</v>
      </c>
      <c r="Q147" s="162" t="s">
        <v>167</v>
      </c>
      <c r="R147" s="162" t="s">
        <v>154</v>
      </c>
      <c r="S147" s="162" t="s">
        <v>155</v>
      </c>
      <c r="T147" s="159">
        <v>2009</v>
      </c>
      <c r="U147" s="165">
        <v>20</v>
      </c>
      <c r="V147" s="165">
        <f>IF(ISNUMBER(U147),U147/VLOOKUP($S147,xRates!$A$1:$AA$267,data!$T147-xRates!$B$1+2,FALSE),U147)</f>
        <v>20</v>
      </c>
      <c r="W147" s="162" t="s">
        <v>524</v>
      </c>
      <c r="Y147" s="165"/>
      <c r="AA147" s="163" t="s">
        <v>157</v>
      </c>
      <c r="AB147" s="162"/>
      <c r="AC147" s="162" t="str">
        <f>IF(AA147="No","","")</f>
        <v/>
      </c>
      <c r="AD147" s="163" t="s">
        <v>157</v>
      </c>
      <c r="AE147" s="162" t="str">
        <f>IF(AD147="No", "", "")</f>
        <v/>
      </c>
      <c r="AF147" s="163" t="s">
        <v>148</v>
      </c>
      <c r="AG147" s="163" t="s">
        <v>148</v>
      </c>
      <c r="AH147" s="163" t="s">
        <v>148</v>
      </c>
      <c r="AJ147" s="162"/>
      <c r="AK147" s="162" t="s">
        <v>542</v>
      </c>
      <c r="AL147" s="163" t="s">
        <v>159</v>
      </c>
      <c r="AM147" s="179">
        <v>2975.23</v>
      </c>
      <c r="AN147" s="179">
        <v>2975.23</v>
      </c>
      <c r="AO147" s="179">
        <f t="shared" si="126"/>
        <v>4196.311627</v>
      </c>
      <c r="AP147" s="163" t="str">
        <f t="shared" si="128"/>
        <v>Cost-Effective</v>
      </c>
      <c r="AQ147" s="163" t="str">
        <f t="shared" si="102"/>
        <v>Cost-Effective</v>
      </c>
      <c r="AR147" s="167">
        <f t="shared" si="100"/>
        <v>0.7090107371570572</v>
      </c>
      <c r="AS147" s="167">
        <f t="shared" si="103"/>
        <v>1.08</v>
      </c>
      <c r="AT147" s="159" t="str">
        <f t="shared" si="116"/>
        <v>Cost-Effective</v>
      </c>
      <c r="AU147" s="167">
        <f t="shared" si="104"/>
        <v>0.64</v>
      </c>
      <c r="AV147" s="162" t="str">
        <f t="shared" si="117"/>
        <v>Not Cost-Effective</v>
      </c>
      <c r="AW147" s="167">
        <f t="shared" si="105"/>
        <v>0.64868436103329219</v>
      </c>
      <c r="AX147" s="159" t="str">
        <f t="shared" si="118"/>
        <v>Not Cost-Effective</v>
      </c>
      <c r="AY147" s="167">
        <f t="shared" si="106"/>
        <v>0.16487209176159878</v>
      </c>
      <c r="AZ147" s="159" t="str">
        <f t="shared" si="119"/>
        <v>Not Cost-Effective</v>
      </c>
      <c r="BA147" s="167">
        <f t="shared" si="107"/>
        <v>0.88451095719374262</v>
      </c>
      <c r="BB147" s="159" t="str">
        <f t="shared" si="120"/>
        <v>Cost-Effective</v>
      </c>
      <c r="BC147" s="167">
        <f t="shared" si="108"/>
        <v>0.366554090368578</v>
      </c>
      <c r="BD147" s="159" t="str">
        <f t="shared" si="121"/>
        <v>Not Cost-Effective</v>
      </c>
      <c r="BE147" s="162" t="s">
        <v>173</v>
      </c>
      <c r="BF147" s="162" t="s">
        <v>174</v>
      </c>
      <c r="BG147" s="168">
        <f t="shared" si="109"/>
        <v>1</v>
      </c>
      <c r="BH147" s="168">
        <f t="shared" si="110"/>
        <v>0</v>
      </c>
      <c r="BI147" s="163">
        <f t="shared" si="111"/>
        <v>1</v>
      </c>
      <c r="BJ147" s="163">
        <f t="shared" si="112"/>
        <v>1</v>
      </c>
      <c r="BK147" s="163">
        <f t="shared" si="122"/>
        <v>1</v>
      </c>
      <c r="BL147" s="163">
        <f t="shared" si="123"/>
        <v>0</v>
      </c>
      <c r="BM147" s="163">
        <f t="shared" si="124"/>
        <v>4</v>
      </c>
      <c r="BN147" s="163" t="s">
        <v>157</v>
      </c>
      <c r="BO147" s="162" t="str">
        <f t="shared" si="96"/>
        <v/>
      </c>
      <c r="BP147" s="162" t="s">
        <v>272</v>
      </c>
      <c r="BQ147" s="162" t="s">
        <v>1425</v>
      </c>
    </row>
    <row r="148" spans="1:69">
      <c r="A148" s="159">
        <f t="shared" si="113"/>
        <v>43</v>
      </c>
      <c r="B148" s="159">
        <f t="shared" si="114"/>
        <v>18</v>
      </c>
      <c r="C148" s="160" t="str">
        <f t="shared" si="101"/>
        <v>4318</v>
      </c>
      <c r="D148" s="159" t="s">
        <v>522</v>
      </c>
      <c r="E148" s="159">
        <v>2013</v>
      </c>
      <c r="F148" s="162" t="s">
        <v>523</v>
      </c>
      <c r="G148" s="182" t="s">
        <v>404</v>
      </c>
      <c r="H148" s="163" t="str">
        <f t="shared" si="125"/>
        <v>UM</v>
      </c>
      <c r="I148" s="163" t="s">
        <v>157</v>
      </c>
      <c r="J148" s="180" t="s">
        <v>352</v>
      </c>
      <c r="K148" s="163" t="s">
        <v>183</v>
      </c>
      <c r="L148" s="163" t="s">
        <v>151</v>
      </c>
      <c r="M148" s="163" t="str">
        <f t="shared" si="115"/>
        <v>PCV10 vs NoVax</v>
      </c>
      <c r="N148" s="159" t="s">
        <v>198</v>
      </c>
      <c r="O148" s="159">
        <v>4</v>
      </c>
      <c r="P148" s="162" t="s">
        <v>157</v>
      </c>
      <c r="Q148" s="162" t="s">
        <v>153</v>
      </c>
      <c r="R148" s="162" t="s">
        <v>154</v>
      </c>
      <c r="S148" s="162" t="s">
        <v>155</v>
      </c>
      <c r="T148" s="159">
        <v>2009</v>
      </c>
      <c r="U148" s="165">
        <v>20</v>
      </c>
      <c r="V148" s="165">
        <f>IF(ISNUMBER(U148),U148/VLOOKUP($S148,xRates!$A$1:$AA$267,data!$T148-xRates!$B$1+2,FALSE),U148)</f>
        <v>20</v>
      </c>
      <c r="W148" s="162" t="s">
        <v>524</v>
      </c>
      <c r="Y148" s="165"/>
      <c r="AA148" s="163" t="s">
        <v>157</v>
      </c>
      <c r="AB148" s="162"/>
      <c r="AC148" s="162" t="str">
        <f>IF(AA148="No","","")</f>
        <v/>
      </c>
      <c r="AD148" s="163" t="s">
        <v>157</v>
      </c>
      <c r="AE148" s="162" t="str">
        <f>IF(AD148="No", "", "")</f>
        <v/>
      </c>
      <c r="AF148" s="163" t="s">
        <v>148</v>
      </c>
      <c r="AG148" s="163" t="s">
        <v>148</v>
      </c>
      <c r="AH148" s="163" t="s">
        <v>148</v>
      </c>
      <c r="AJ148" s="162"/>
      <c r="AK148" s="162" t="s">
        <v>543</v>
      </c>
      <c r="AL148" s="163" t="s">
        <v>159</v>
      </c>
      <c r="AM148" s="179">
        <v>1535.87</v>
      </c>
      <c r="AN148" s="179">
        <v>1535.87</v>
      </c>
      <c r="AO148" s="179">
        <f t="shared" si="126"/>
        <v>4196.311627</v>
      </c>
      <c r="AP148" s="163" t="str">
        <f t="shared" si="128"/>
        <v>Cost-Effective</v>
      </c>
      <c r="AQ148" s="163" t="str">
        <f t="shared" si="102"/>
        <v>Cost-Effective</v>
      </c>
      <c r="AR148" s="167">
        <f t="shared" si="100"/>
        <v>0.3660047528686553</v>
      </c>
      <c r="AS148" s="167">
        <f t="shared" si="103"/>
        <v>1.08</v>
      </c>
      <c r="AT148" s="159" t="str">
        <f t="shared" si="116"/>
        <v>Cost-Effective</v>
      </c>
      <c r="AU148" s="167">
        <f t="shared" si="104"/>
        <v>0.64</v>
      </c>
      <c r="AV148" s="162" t="str">
        <f t="shared" si="117"/>
        <v>Cost-Effective</v>
      </c>
      <c r="AW148" s="167">
        <f t="shared" si="105"/>
        <v>0.64868436103329219</v>
      </c>
      <c r="AX148" s="159" t="str">
        <f t="shared" si="118"/>
        <v>Cost-Effective</v>
      </c>
      <c r="AY148" s="167">
        <f t="shared" si="106"/>
        <v>0.16487209176159878</v>
      </c>
      <c r="AZ148" s="159" t="str">
        <f t="shared" si="119"/>
        <v>Not Cost-Effective</v>
      </c>
      <c r="BA148" s="167">
        <f t="shared" si="107"/>
        <v>0.88451095719374262</v>
      </c>
      <c r="BB148" s="159" t="str">
        <f t="shared" si="120"/>
        <v>Cost-Effective</v>
      </c>
      <c r="BC148" s="167">
        <f t="shared" si="108"/>
        <v>0.366554090368578</v>
      </c>
      <c r="BD148" s="159" t="str">
        <f t="shared" si="121"/>
        <v>Cost-Effective</v>
      </c>
      <c r="BE148" s="162" t="s">
        <v>173</v>
      </c>
      <c r="BF148" s="162" t="s">
        <v>174</v>
      </c>
      <c r="BG148" s="168">
        <f t="shared" si="109"/>
        <v>0</v>
      </c>
      <c r="BH148" s="168">
        <f t="shared" si="110"/>
        <v>0</v>
      </c>
      <c r="BI148" s="163">
        <f t="shared" si="111"/>
        <v>1</v>
      </c>
      <c r="BJ148" s="163">
        <f t="shared" si="112"/>
        <v>0</v>
      </c>
      <c r="BK148" s="163">
        <f t="shared" si="122"/>
        <v>0</v>
      </c>
      <c r="BL148" s="163">
        <f t="shared" si="123"/>
        <v>0</v>
      </c>
      <c r="BM148" s="163">
        <f t="shared" si="124"/>
        <v>1</v>
      </c>
      <c r="BN148" s="163" t="s">
        <v>157</v>
      </c>
      <c r="BO148" s="162" t="str">
        <f t="shared" si="96"/>
        <v/>
      </c>
      <c r="BP148" s="162" t="s">
        <v>272</v>
      </c>
      <c r="BQ148" s="162" t="s">
        <v>1425</v>
      </c>
    </row>
    <row r="149" spans="1:69">
      <c r="A149" s="159">
        <f t="shared" si="113"/>
        <v>43</v>
      </c>
      <c r="B149" s="159">
        <f t="shared" si="114"/>
        <v>19</v>
      </c>
      <c r="C149" s="160" t="str">
        <f t="shared" si="101"/>
        <v>4319</v>
      </c>
      <c r="D149" s="159" t="s">
        <v>522</v>
      </c>
      <c r="E149" s="159">
        <v>2013</v>
      </c>
      <c r="F149" s="162" t="s">
        <v>523</v>
      </c>
      <c r="G149" s="182" t="s">
        <v>404</v>
      </c>
      <c r="H149" s="163" t="str">
        <f t="shared" si="125"/>
        <v>UM</v>
      </c>
      <c r="I149" s="163" t="s">
        <v>157</v>
      </c>
      <c r="J149" s="180" t="s">
        <v>352</v>
      </c>
      <c r="K149" s="163" t="s">
        <v>183</v>
      </c>
      <c r="L149" s="163" t="s">
        <v>151</v>
      </c>
      <c r="M149" s="163" t="str">
        <f t="shared" si="115"/>
        <v>PCV10 vs NoVax</v>
      </c>
      <c r="N149" s="159" t="s">
        <v>198</v>
      </c>
      <c r="O149" s="159">
        <v>4</v>
      </c>
      <c r="P149" s="162" t="s">
        <v>157</v>
      </c>
      <c r="Q149" s="162" t="s">
        <v>167</v>
      </c>
      <c r="R149" s="162" t="s">
        <v>154</v>
      </c>
      <c r="S149" s="162" t="s">
        <v>155</v>
      </c>
      <c r="T149" s="159">
        <v>2009</v>
      </c>
      <c r="U149" s="165">
        <v>20</v>
      </c>
      <c r="V149" s="165">
        <f>IF(ISNUMBER(U149),U149/VLOOKUP($S149,xRates!$A$1:$AA$267,data!$T149-xRates!$B$1+2,FALSE),U149)</f>
        <v>20</v>
      </c>
      <c r="W149" s="162" t="s">
        <v>524</v>
      </c>
      <c r="Y149" s="165"/>
      <c r="AA149" s="163" t="s">
        <v>148</v>
      </c>
      <c r="AB149" s="162" t="s">
        <v>217</v>
      </c>
      <c r="AC149" s="162" t="s">
        <v>148</v>
      </c>
      <c r="AD149" s="163" t="s">
        <v>157</v>
      </c>
      <c r="AE149" s="162" t="str">
        <f>IF(AD149="No", "", "")</f>
        <v/>
      </c>
      <c r="AF149" s="163" t="s">
        <v>148</v>
      </c>
      <c r="AG149" s="163" t="s">
        <v>148</v>
      </c>
      <c r="AH149" s="163" t="s">
        <v>148</v>
      </c>
      <c r="AJ149" s="162"/>
      <c r="AK149" s="162" t="s">
        <v>544</v>
      </c>
      <c r="AL149" s="163" t="s">
        <v>159</v>
      </c>
      <c r="AM149" s="179">
        <v>2920.73</v>
      </c>
      <c r="AN149" s="179">
        <v>2920.73</v>
      </c>
      <c r="AO149" s="179">
        <f t="shared" si="126"/>
        <v>4196.311627</v>
      </c>
      <c r="AP149" s="163" t="str">
        <f t="shared" si="128"/>
        <v>Cost-Effective</v>
      </c>
      <c r="AQ149" s="163" t="str">
        <f t="shared" si="102"/>
        <v>Cost-Effective</v>
      </c>
      <c r="AR149" s="167">
        <f t="shared" si="100"/>
        <v>0.69602314118126385</v>
      </c>
      <c r="AS149" s="167">
        <f t="shared" si="103"/>
        <v>1.08</v>
      </c>
      <c r="AT149" s="159" t="str">
        <f t="shared" si="116"/>
        <v>Cost-Effective</v>
      </c>
      <c r="AU149" s="167">
        <f t="shared" si="104"/>
        <v>0.64</v>
      </c>
      <c r="AV149" s="162" t="str">
        <f t="shared" si="117"/>
        <v>Not Cost-Effective</v>
      </c>
      <c r="AW149" s="167">
        <f t="shared" si="105"/>
        <v>0.64868436103329219</v>
      </c>
      <c r="AX149" s="159" t="str">
        <f t="shared" si="118"/>
        <v>Not Cost-Effective</v>
      </c>
      <c r="AY149" s="167">
        <f t="shared" si="106"/>
        <v>0.16487209176159878</v>
      </c>
      <c r="AZ149" s="159" t="str">
        <f t="shared" si="119"/>
        <v>Not Cost-Effective</v>
      </c>
      <c r="BA149" s="167">
        <f t="shared" si="107"/>
        <v>0.88451095719374262</v>
      </c>
      <c r="BB149" s="159" t="str">
        <f t="shared" si="120"/>
        <v>Cost-Effective</v>
      </c>
      <c r="BC149" s="167">
        <f t="shared" si="108"/>
        <v>0.366554090368578</v>
      </c>
      <c r="BD149" s="159" t="str">
        <f t="shared" si="121"/>
        <v>Not Cost-Effective</v>
      </c>
      <c r="BE149" s="162" t="s">
        <v>173</v>
      </c>
      <c r="BF149" s="162" t="s">
        <v>174</v>
      </c>
      <c r="BG149" s="168">
        <f t="shared" si="109"/>
        <v>1</v>
      </c>
      <c r="BH149" s="168">
        <f t="shared" si="110"/>
        <v>0</v>
      </c>
      <c r="BI149" s="163">
        <f t="shared" si="111"/>
        <v>1</v>
      </c>
      <c r="BJ149" s="163">
        <f t="shared" si="112"/>
        <v>1</v>
      </c>
      <c r="BK149" s="163">
        <f t="shared" si="122"/>
        <v>1</v>
      </c>
      <c r="BL149" s="163">
        <f t="shared" si="123"/>
        <v>0</v>
      </c>
      <c r="BM149" s="163">
        <f t="shared" si="124"/>
        <v>4</v>
      </c>
      <c r="BN149" s="163" t="s">
        <v>157</v>
      </c>
      <c r="BO149" s="162" t="str">
        <f t="shared" si="96"/>
        <v/>
      </c>
      <c r="BP149" s="162" t="s">
        <v>272</v>
      </c>
      <c r="BQ149" s="162" t="s">
        <v>1425</v>
      </c>
    </row>
    <row r="150" spans="1:69">
      <c r="A150" s="159">
        <f t="shared" si="113"/>
        <v>43</v>
      </c>
      <c r="B150" s="159">
        <f t="shared" si="114"/>
        <v>20</v>
      </c>
      <c r="C150" s="160" t="str">
        <f t="shared" si="101"/>
        <v>4320</v>
      </c>
      <c r="D150" s="159" t="s">
        <v>522</v>
      </c>
      <c r="E150" s="159">
        <v>2013</v>
      </c>
      <c r="F150" s="162" t="s">
        <v>523</v>
      </c>
      <c r="G150" s="182" t="s">
        <v>404</v>
      </c>
      <c r="H150" s="163" t="str">
        <f t="shared" si="125"/>
        <v>UM</v>
      </c>
      <c r="I150" s="163" t="s">
        <v>157</v>
      </c>
      <c r="J150" s="180" t="s">
        <v>352</v>
      </c>
      <c r="K150" s="163" t="s">
        <v>183</v>
      </c>
      <c r="L150" s="163" t="s">
        <v>151</v>
      </c>
      <c r="M150" s="163" t="str">
        <f t="shared" si="115"/>
        <v>PCV10 vs NoVax</v>
      </c>
      <c r="N150" s="159" t="s">
        <v>198</v>
      </c>
      <c r="O150" s="159">
        <v>4</v>
      </c>
      <c r="P150" s="162" t="s">
        <v>157</v>
      </c>
      <c r="Q150" s="162" t="s">
        <v>167</v>
      </c>
      <c r="R150" s="162" t="s">
        <v>154</v>
      </c>
      <c r="S150" s="162" t="s">
        <v>155</v>
      </c>
      <c r="T150" s="159">
        <v>2009</v>
      </c>
      <c r="U150" s="165">
        <v>20</v>
      </c>
      <c r="V150" s="165">
        <f>IF(ISNUMBER(U150),U150/VLOOKUP($S150,xRates!$A$1:$AA$267,data!$T150-xRates!$B$1+2,FALSE),U150)</f>
        <v>20</v>
      </c>
      <c r="W150" s="162" t="s">
        <v>524</v>
      </c>
      <c r="Y150" s="165"/>
      <c r="AA150" s="163" t="s">
        <v>148</v>
      </c>
      <c r="AB150" s="162" t="s">
        <v>217</v>
      </c>
      <c r="AC150" s="162" t="s">
        <v>148</v>
      </c>
      <c r="AD150" s="163" t="s">
        <v>148</v>
      </c>
      <c r="AE150" s="162" t="s">
        <v>177</v>
      </c>
      <c r="AF150" s="163" t="s">
        <v>148</v>
      </c>
      <c r="AG150" s="163" t="s">
        <v>148</v>
      </c>
      <c r="AH150" s="163" t="s">
        <v>148</v>
      </c>
      <c r="AJ150" s="162"/>
      <c r="AK150" s="162" t="s">
        <v>545</v>
      </c>
      <c r="AL150" s="163" t="s">
        <v>159</v>
      </c>
      <c r="AM150" s="179">
        <v>1478.95</v>
      </c>
      <c r="AN150" s="179">
        <v>1478.95</v>
      </c>
      <c r="AO150" s="179">
        <f t="shared" si="126"/>
        <v>4196.311627</v>
      </c>
      <c r="AP150" s="163" t="str">
        <f t="shared" si="128"/>
        <v>Cost-Effective</v>
      </c>
      <c r="AQ150" s="163" t="str">
        <f t="shared" si="102"/>
        <v>Cost-Effective</v>
      </c>
      <c r="AR150" s="167">
        <f t="shared" si="100"/>
        <v>0.35244045997063411</v>
      </c>
      <c r="AS150" s="167">
        <f t="shared" si="103"/>
        <v>1.08</v>
      </c>
      <c r="AT150" s="159" t="str">
        <f t="shared" si="116"/>
        <v>Cost-Effective</v>
      </c>
      <c r="AU150" s="167">
        <f t="shared" si="104"/>
        <v>0.64</v>
      </c>
      <c r="AV150" s="162" t="str">
        <f t="shared" si="117"/>
        <v>Cost-Effective</v>
      </c>
      <c r="AW150" s="167">
        <f t="shared" si="105"/>
        <v>0.64868436103329219</v>
      </c>
      <c r="AX150" s="159" t="str">
        <f t="shared" si="118"/>
        <v>Cost-Effective</v>
      </c>
      <c r="AY150" s="167">
        <f t="shared" si="106"/>
        <v>0.16487209176159878</v>
      </c>
      <c r="AZ150" s="159" t="str">
        <f t="shared" si="119"/>
        <v>Not Cost-Effective</v>
      </c>
      <c r="BA150" s="167">
        <f t="shared" si="107"/>
        <v>0.88451095719374262</v>
      </c>
      <c r="BB150" s="159" t="str">
        <f t="shared" si="120"/>
        <v>Cost-Effective</v>
      </c>
      <c r="BC150" s="167">
        <f t="shared" si="108"/>
        <v>0.366554090368578</v>
      </c>
      <c r="BD150" s="159" t="str">
        <f t="shared" si="121"/>
        <v>Cost-Effective</v>
      </c>
      <c r="BE150" s="162" t="s">
        <v>173</v>
      </c>
      <c r="BF150" s="162" t="s">
        <v>174</v>
      </c>
      <c r="BG150" s="168">
        <f t="shared" si="109"/>
        <v>0</v>
      </c>
      <c r="BH150" s="168">
        <f t="shared" si="110"/>
        <v>0</v>
      </c>
      <c r="BI150" s="163">
        <f t="shared" si="111"/>
        <v>1</v>
      </c>
      <c r="BJ150" s="163">
        <f t="shared" si="112"/>
        <v>0</v>
      </c>
      <c r="BK150" s="163">
        <f t="shared" si="122"/>
        <v>0</v>
      </c>
      <c r="BL150" s="163">
        <f t="shared" si="123"/>
        <v>0</v>
      </c>
      <c r="BM150" s="163">
        <f t="shared" si="124"/>
        <v>1</v>
      </c>
      <c r="BN150" s="163" t="s">
        <v>157</v>
      </c>
      <c r="BO150" s="162" t="str">
        <f t="shared" si="96"/>
        <v/>
      </c>
      <c r="BP150" s="162" t="s">
        <v>272</v>
      </c>
      <c r="BQ150" s="162" t="s">
        <v>1425</v>
      </c>
    </row>
    <row r="151" spans="1:69">
      <c r="A151" s="159">
        <f t="shared" si="113"/>
        <v>44</v>
      </c>
      <c r="B151" s="159">
        <f t="shared" si="114"/>
        <v>1</v>
      </c>
      <c r="C151" s="160" t="str">
        <f t="shared" si="101"/>
        <v>4401</v>
      </c>
      <c r="D151" s="159" t="s">
        <v>58</v>
      </c>
      <c r="E151" s="159">
        <v>2010</v>
      </c>
      <c r="F151" s="162" t="s">
        <v>63</v>
      </c>
      <c r="G151" s="182" t="s">
        <v>365</v>
      </c>
      <c r="H151" s="163" t="str">
        <f t="shared" si="125"/>
        <v>UM</v>
      </c>
      <c r="I151" s="163" t="s">
        <v>157</v>
      </c>
      <c r="J151" s="180" t="s">
        <v>546</v>
      </c>
      <c r="K151" s="163" t="s">
        <v>150</v>
      </c>
      <c r="L151" s="163" t="s">
        <v>151</v>
      </c>
      <c r="M151" s="163" t="str">
        <f t="shared" si="115"/>
        <v>PCV7 vs NoVax</v>
      </c>
      <c r="N151" s="159" t="s">
        <v>198</v>
      </c>
      <c r="O151" s="159">
        <v>4</v>
      </c>
      <c r="P151" s="162" t="s">
        <v>148</v>
      </c>
      <c r="Q151" s="162" t="s">
        <v>153</v>
      </c>
      <c r="R151" s="162" t="s">
        <v>154</v>
      </c>
      <c r="S151" s="162" t="s">
        <v>155</v>
      </c>
      <c r="T151" s="159">
        <v>2007</v>
      </c>
      <c r="U151" s="165">
        <v>26.5</v>
      </c>
      <c r="V151" s="165">
        <f>IF(ISNUMBER(U151),U151/VLOOKUP($S151,xRates!$A$1:$AA$267,data!$T151-xRates!$B$1+2,FALSE),U151)</f>
        <v>26.5</v>
      </c>
      <c r="W151" s="162" t="s">
        <v>177</v>
      </c>
      <c r="Y151" s="165"/>
      <c r="AA151" s="163" t="s">
        <v>157</v>
      </c>
      <c r="AB151" s="162"/>
      <c r="AC151" s="162" t="str">
        <f>IF(AA151="No","","")</f>
        <v/>
      </c>
      <c r="AD151" s="163" t="s">
        <v>157</v>
      </c>
      <c r="AE151" s="162" t="str">
        <f>IF(AD151="No", "", "")</f>
        <v/>
      </c>
      <c r="AF151" s="163" t="s">
        <v>148</v>
      </c>
      <c r="AG151" s="163" t="s">
        <v>148</v>
      </c>
      <c r="AH151" s="163" t="s">
        <v>148</v>
      </c>
      <c r="AJ151" s="162"/>
      <c r="AK151" s="162" t="s">
        <v>547</v>
      </c>
      <c r="AL151" s="163" t="s">
        <v>469</v>
      </c>
      <c r="AM151" s="179">
        <v>5599.42</v>
      </c>
      <c r="AN151" s="179">
        <v>5599.42</v>
      </c>
      <c r="AO151" s="179">
        <f t="shared" si="126"/>
        <v>7245.4468569999999</v>
      </c>
      <c r="AP151" s="163" t="str">
        <f t="shared" si="128"/>
        <v>Cost-Effective</v>
      </c>
      <c r="AQ151" s="163" t="str">
        <f t="shared" si="102"/>
        <v>Cost-Effective</v>
      </c>
      <c r="AR151" s="167">
        <f t="shared" si="100"/>
        <v>0.77281913876578445</v>
      </c>
      <c r="AS151" s="167">
        <f t="shared" si="103"/>
        <v>0.56000000000000005</v>
      </c>
      <c r="AT151" s="159" t="str">
        <f t="shared" si="116"/>
        <v>Not Cost-Effective</v>
      </c>
      <c r="AU151" s="167">
        <f t="shared" si="104"/>
        <v>0.37</v>
      </c>
      <c r="AV151" s="162" t="str">
        <f t="shared" si="117"/>
        <v>Not Cost-Effective</v>
      </c>
      <c r="AW151" s="167" t="str">
        <f t="shared" si="105"/>
        <v>.</v>
      </c>
      <c r="AX151" s="159" t="str">
        <f t="shared" si="118"/>
        <v>.</v>
      </c>
      <c r="AY151" s="167" t="str">
        <f t="shared" si="106"/>
        <v>.</v>
      </c>
      <c r="AZ151" s="159" t="str">
        <f t="shared" si="119"/>
        <v>.</v>
      </c>
      <c r="BA151" s="167">
        <f t="shared" si="107"/>
        <v>1.6326529897923321</v>
      </c>
      <c r="BB151" s="159" t="str">
        <f t="shared" si="120"/>
        <v>Cost-Effective</v>
      </c>
      <c r="BC151" s="167">
        <f t="shared" si="108"/>
        <v>0.67666749470350318</v>
      </c>
      <c r="BD151" s="159" t="str">
        <f t="shared" si="121"/>
        <v>Not Cost-Effective</v>
      </c>
      <c r="BE151" s="162" t="s">
        <v>160</v>
      </c>
      <c r="BF151" s="162" t="s">
        <v>174</v>
      </c>
      <c r="BG151" s="168">
        <f t="shared" si="109"/>
        <v>1</v>
      </c>
      <c r="BH151" s="168">
        <f t="shared" si="110"/>
        <v>1</v>
      </c>
      <c r="BI151" s="163">
        <f t="shared" si="111"/>
        <v>0</v>
      </c>
      <c r="BJ151" s="163">
        <f t="shared" si="112"/>
        <v>0</v>
      </c>
      <c r="BK151" s="163">
        <f t="shared" si="122"/>
        <v>1</v>
      </c>
      <c r="BL151" s="163">
        <f t="shared" si="123"/>
        <v>0</v>
      </c>
      <c r="BM151" s="163">
        <f t="shared" si="124"/>
        <v>3</v>
      </c>
      <c r="BN151" s="163" t="s">
        <v>148</v>
      </c>
      <c r="BO151" s="162" t="s">
        <v>548</v>
      </c>
      <c r="BP151" s="162" t="s">
        <v>1417</v>
      </c>
      <c r="BQ151" s="162" t="s">
        <v>1425</v>
      </c>
    </row>
    <row r="152" spans="1:69">
      <c r="A152" s="159">
        <f t="shared" si="113"/>
        <v>44</v>
      </c>
      <c r="B152" s="159">
        <f t="shared" si="114"/>
        <v>2</v>
      </c>
      <c r="C152" s="160" t="str">
        <f t="shared" si="101"/>
        <v>4402</v>
      </c>
      <c r="D152" s="159" t="s">
        <v>58</v>
      </c>
      <c r="E152" s="159">
        <v>2010</v>
      </c>
      <c r="F152" s="162" t="s">
        <v>63</v>
      </c>
      <c r="G152" s="182" t="s">
        <v>365</v>
      </c>
      <c r="H152" s="163" t="str">
        <f t="shared" si="125"/>
        <v>UM</v>
      </c>
      <c r="I152" s="163" t="s">
        <v>157</v>
      </c>
      <c r="J152" s="180" t="s">
        <v>546</v>
      </c>
      <c r="K152" s="163" t="s">
        <v>150</v>
      </c>
      <c r="L152" s="163" t="s">
        <v>151</v>
      </c>
      <c r="M152" s="163" t="str">
        <f t="shared" si="115"/>
        <v>PCV7 vs NoVax</v>
      </c>
      <c r="N152" s="159" t="s">
        <v>198</v>
      </c>
      <c r="O152" s="159">
        <v>4</v>
      </c>
      <c r="P152" s="162" t="s">
        <v>157</v>
      </c>
      <c r="Q152" s="162" t="s">
        <v>153</v>
      </c>
      <c r="R152" s="162" t="s">
        <v>154</v>
      </c>
      <c r="S152" s="162" t="s">
        <v>155</v>
      </c>
      <c r="T152" s="159">
        <v>2007</v>
      </c>
      <c r="U152" s="165">
        <v>26.5</v>
      </c>
      <c r="V152" s="165">
        <f>IF(ISNUMBER(U152),U152/VLOOKUP($S152,xRates!$A$1:$AA$267,data!$T152-xRates!$B$1+2,FALSE),U152)</f>
        <v>26.5</v>
      </c>
      <c r="W152" s="162" t="s">
        <v>177</v>
      </c>
      <c r="Y152" s="165"/>
      <c r="AA152" s="163" t="s">
        <v>148</v>
      </c>
      <c r="AB152" s="162" t="s">
        <v>217</v>
      </c>
      <c r="AC152" s="162" t="s">
        <v>148</v>
      </c>
      <c r="AD152" s="163" t="s">
        <v>157</v>
      </c>
      <c r="AE152" s="162" t="str">
        <f>IF(AD152="No", "", "")</f>
        <v/>
      </c>
      <c r="AF152" s="163" t="s">
        <v>148</v>
      </c>
      <c r="AG152" s="163" t="s">
        <v>148</v>
      </c>
      <c r="AH152" s="163" t="s">
        <v>148</v>
      </c>
      <c r="AJ152" s="162"/>
      <c r="AK152" s="162" t="s">
        <v>549</v>
      </c>
      <c r="AL152" s="163" t="s">
        <v>469</v>
      </c>
      <c r="AM152" s="179">
        <v>2821.83</v>
      </c>
      <c r="AN152" s="179">
        <v>2821.83</v>
      </c>
      <c r="AO152" s="179">
        <f t="shared" si="126"/>
        <v>7245.4468569999999</v>
      </c>
      <c r="AP152" s="163" t="str">
        <f t="shared" si="128"/>
        <v>Cost-Effective</v>
      </c>
      <c r="AQ152" s="163" t="str">
        <f t="shared" si="102"/>
        <v>Cost-Effective</v>
      </c>
      <c r="AR152" s="167">
        <f t="shared" si="100"/>
        <v>0.38946252117959601</v>
      </c>
      <c r="AS152" s="167">
        <f t="shared" si="103"/>
        <v>0.56000000000000005</v>
      </c>
      <c r="AT152" s="159" t="str">
        <f t="shared" si="116"/>
        <v>Cost-Effective</v>
      </c>
      <c r="AU152" s="167">
        <f t="shared" si="104"/>
        <v>0.37</v>
      </c>
      <c r="AV152" s="162" t="str">
        <f t="shared" si="117"/>
        <v>Not Cost-Effective</v>
      </c>
      <c r="AW152" s="167" t="str">
        <f t="shared" si="105"/>
        <v>.</v>
      </c>
      <c r="AX152" s="159" t="str">
        <f t="shared" si="118"/>
        <v>.</v>
      </c>
      <c r="AY152" s="167" t="str">
        <f t="shared" si="106"/>
        <v>.</v>
      </c>
      <c r="AZ152" s="159" t="str">
        <f t="shared" si="119"/>
        <v>.</v>
      </c>
      <c r="BA152" s="167">
        <f t="shared" si="107"/>
        <v>1.6326529897923321</v>
      </c>
      <c r="BB152" s="159" t="str">
        <f t="shared" si="120"/>
        <v>Cost-Effective</v>
      </c>
      <c r="BC152" s="167">
        <f t="shared" si="108"/>
        <v>0.67666749470350318</v>
      </c>
      <c r="BD152" s="159" t="str">
        <f t="shared" si="121"/>
        <v>Cost-Effective</v>
      </c>
      <c r="BE152" s="162" t="s">
        <v>160</v>
      </c>
      <c r="BF152" s="162" t="s">
        <v>174</v>
      </c>
      <c r="BG152" s="168">
        <f t="shared" si="109"/>
        <v>1</v>
      </c>
      <c r="BH152" s="168">
        <f t="shared" si="110"/>
        <v>0</v>
      </c>
      <c r="BI152" s="163">
        <f t="shared" si="111"/>
        <v>0</v>
      </c>
      <c r="BJ152" s="163">
        <f t="shared" si="112"/>
        <v>0</v>
      </c>
      <c r="BK152" s="163">
        <f t="shared" si="122"/>
        <v>0</v>
      </c>
      <c r="BL152" s="163">
        <f t="shared" si="123"/>
        <v>0</v>
      </c>
      <c r="BM152" s="163">
        <f t="shared" si="124"/>
        <v>1</v>
      </c>
      <c r="BN152" s="163" t="s">
        <v>148</v>
      </c>
      <c r="BO152" s="162" t="s">
        <v>550</v>
      </c>
      <c r="BP152" s="162" t="s">
        <v>1417</v>
      </c>
      <c r="BQ152" s="162" t="s">
        <v>1425</v>
      </c>
    </row>
    <row r="153" spans="1:69">
      <c r="A153" s="159">
        <f t="shared" si="113"/>
        <v>44</v>
      </c>
      <c r="B153" s="159">
        <f t="shared" si="114"/>
        <v>3</v>
      </c>
      <c r="C153" s="160" t="str">
        <f t="shared" si="101"/>
        <v>4403</v>
      </c>
      <c r="D153" s="159" t="s">
        <v>58</v>
      </c>
      <c r="E153" s="159">
        <v>2010</v>
      </c>
      <c r="F153" s="162" t="s">
        <v>63</v>
      </c>
      <c r="G153" s="182" t="s">
        <v>365</v>
      </c>
      <c r="H153" s="163" t="str">
        <f t="shared" si="125"/>
        <v>UM</v>
      </c>
      <c r="I153" s="163" t="s">
        <v>157</v>
      </c>
      <c r="J153" s="180" t="s">
        <v>546</v>
      </c>
      <c r="K153" s="163" t="s">
        <v>150</v>
      </c>
      <c r="L153" s="163" t="s">
        <v>151</v>
      </c>
      <c r="M153" s="163" t="str">
        <f t="shared" si="115"/>
        <v>PCV7 vs NoVax</v>
      </c>
      <c r="N153" s="159" t="s">
        <v>198</v>
      </c>
      <c r="O153" s="159">
        <v>4</v>
      </c>
      <c r="P153" s="162" t="s">
        <v>157</v>
      </c>
      <c r="Q153" s="162" t="s">
        <v>167</v>
      </c>
      <c r="R153" s="162" t="s">
        <v>154</v>
      </c>
      <c r="S153" s="162" t="s">
        <v>155</v>
      </c>
      <c r="T153" s="159">
        <v>2007</v>
      </c>
      <c r="U153" s="165">
        <v>26.5</v>
      </c>
      <c r="V153" s="165">
        <f>IF(ISNUMBER(U153),U153/VLOOKUP($S153,xRates!$A$1:$AA$267,data!$T153-xRates!$B$1+2,FALSE),U153)</f>
        <v>26.5</v>
      </c>
      <c r="W153" s="162" t="s">
        <v>177</v>
      </c>
      <c r="Y153" s="165"/>
      <c r="AA153" s="163" t="s">
        <v>157</v>
      </c>
      <c r="AB153" s="162"/>
      <c r="AC153" s="162" t="str">
        <f>IF(AA153="No","","")</f>
        <v/>
      </c>
      <c r="AD153" s="163" t="s">
        <v>157</v>
      </c>
      <c r="AE153" s="162" t="str">
        <f>IF(AD153="No", "", "")</f>
        <v/>
      </c>
      <c r="AF153" s="163" t="s">
        <v>148</v>
      </c>
      <c r="AG153" s="163" t="s">
        <v>148</v>
      </c>
      <c r="AH153" s="163" t="s">
        <v>148</v>
      </c>
      <c r="AJ153" s="162"/>
      <c r="AK153" s="162" t="s">
        <v>551</v>
      </c>
      <c r="AL153" s="163" t="s">
        <v>469</v>
      </c>
      <c r="AM153" s="179">
        <v>5827.76</v>
      </c>
      <c r="AN153" s="179">
        <f>AM153</f>
        <v>5827.76</v>
      </c>
      <c r="AO153" s="179">
        <f t="shared" si="126"/>
        <v>7245.4468569999999</v>
      </c>
      <c r="AP153" s="163" t="str">
        <f t="shared" si="128"/>
        <v>Cost-Effective</v>
      </c>
      <c r="AQ153" s="163" t="str">
        <f t="shared" si="102"/>
        <v>Cost-Effective</v>
      </c>
      <c r="AR153" s="167">
        <f t="shared" si="100"/>
        <v>0.80433410319884713</v>
      </c>
      <c r="AS153" s="167">
        <f t="shared" si="103"/>
        <v>0.56000000000000005</v>
      </c>
      <c r="AT153" s="159" t="str">
        <f t="shared" si="116"/>
        <v>Not Cost-Effective</v>
      </c>
      <c r="AU153" s="167">
        <f t="shared" si="104"/>
        <v>0.37</v>
      </c>
      <c r="AV153" s="162" t="str">
        <f t="shared" si="117"/>
        <v>Not Cost-Effective</v>
      </c>
      <c r="AW153" s="167" t="str">
        <f t="shared" si="105"/>
        <v>.</v>
      </c>
      <c r="AX153" s="159" t="str">
        <f t="shared" si="118"/>
        <v>.</v>
      </c>
      <c r="AY153" s="167" t="str">
        <f t="shared" si="106"/>
        <v>.</v>
      </c>
      <c r="AZ153" s="159" t="str">
        <f t="shared" si="119"/>
        <v>.</v>
      </c>
      <c r="BA153" s="167">
        <f t="shared" si="107"/>
        <v>1.6326529897923321</v>
      </c>
      <c r="BB153" s="159" t="str">
        <f t="shared" si="120"/>
        <v>Cost-Effective</v>
      </c>
      <c r="BC153" s="167">
        <f t="shared" si="108"/>
        <v>0.67666749470350318</v>
      </c>
      <c r="BD153" s="159" t="str">
        <f t="shared" si="121"/>
        <v>Not Cost-Effective</v>
      </c>
      <c r="BE153" s="162" t="s">
        <v>160</v>
      </c>
      <c r="BF153" s="162" t="s">
        <v>174</v>
      </c>
      <c r="BG153" s="168">
        <f t="shared" si="109"/>
        <v>1</v>
      </c>
      <c r="BH153" s="168">
        <f t="shared" si="110"/>
        <v>1</v>
      </c>
      <c r="BI153" s="163">
        <f t="shared" si="111"/>
        <v>0</v>
      </c>
      <c r="BJ153" s="163">
        <f t="shared" si="112"/>
        <v>0</v>
      </c>
      <c r="BK153" s="163">
        <f t="shared" si="122"/>
        <v>1</v>
      </c>
      <c r="BL153" s="163">
        <f t="shared" si="123"/>
        <v>0</v>
      </c>
      <c r="BM153" s="163">
        <f t="shared" si="124"/>
        <v>3</v>
      </c>
      <c r="BN153" s="163" t="s">
        <v>148</v>
      </c>
      <c r="BP153" s="162" t="s">
        <v>1418</v>
      </c>
      <c r="BQ153" s="162" t="s">
        <v>1425</v>
      </c>
    </row>
    <row r="154" spans="1:69">
      <c r="A154" s="159">
        <f t="shared" si="113"/>
        <v>45</v>
      </c>
      <c r="B154" s="159">
        <f t="shared" si="114"/>
        <v>1</v>
      </c>
      <c r="C154" s="160" t="str">
        <f t="shared" si="101"/>
        <v>4501</v>
      </c>
      <c r="D154" s="159" t="s">
        <v>64</v>
      </c>
      <c r="E154" s="159">
        <v>2010</v>
      </c>
      <c r="F154" s="162" t="s">
        <v>65</v>
      </c>
      <c r="G154" s="182" t="s">
        <v>537</v>
      </c>
      <c r="H154" s="163" t="str">
        <f t="shared" si="125"/>
        <v>UM</v>
      </c>
      <c r="I154" s="163" t="s">
        <v>157</v>
      </c>
      <c r="J154" s="180" t="s">
        <v>552</v>
      </c>
      <c r="K154" s="163" t="s">
        <v>183</v>
      </c>
      <c r="L154" s="163" t="s">
        <v>150</v>
      </c>
      <c r="M154" s="163" t="str">
        <f t="shared" si="115"/>
        <v>PCV10 vs PCV7</v>
      </c>
      <c r="N154" s="159" t="s">
        <v>152</v>
      </c>
      <c r="O154" s="159">
        <v>3</v>
      </c>
      <c r="P154" s="162" t="s">
        <v>148</v>
      </c>
      <c r="Q154" s="162" t="s">
        <v>167</v>
      </c>
      <c r="R154" s="162" t="s">
        <v>553</v>
      </c>
      <c r="S154" s="162" t="s">
        <v>537</v>
      </c>
      <c r="T154" s="159">
        <v>2008</v>
      </c>
      <c r="U154" s="165" t="s">
        <v>178</v>
      </c>
      <c r="V154" s="165" t="str">
        <f>IF(ISNUMBER(U154),U154/VLOOKUP($S154,xRates!$A$1:$AA$267,data!$T154-xRates!$B$1+2,FALSE),U154)</f>
        <v>.</v>
      </c>
      <c r="W154" s="162" t="s">
        <v>177</v>
      </c>
      <c r="Y154" s="165"/>
      <c r="AA154" s="163" t="s">
        <v>157</v>
      </c>
      <c r="AB154" s="162"/>
      <c r="AC154" s="162" t="str">
        <f>IF(AA154="No","","")</f>
        <v/>
      </c>
      <c r="AD154" s="163" t="s">
        <v>148</v>
      </c>
      <c r="AE154" s="162" t="s">
        <v>554</v>
      </c>
      <c r="AF154" s="163" t="s">
        <v>148</v>
      </c>
      <c r="AG154" s="163" t="s">
        <v>148</v>
      </c>
      <c r="AH154" s="163" t="s">
        <v>148</v>
      </c>
      <c r="AJ154" s="162" t="s">
        <v>555</v>
      </c>
      <c r="AK154" s="162" t="s">
        <v>556</v>
      </c>
      <c r="AL154" s="163" t="s">
        <v>159</v>
      </c>
      <c r="AM154" s="179">
        <f>-228800000/3232.4</f>
        <v>-70783.318896176221</v>
      </c>
      <c r="AN154" s="179">
        <f>AM154/xRates!N129</f>
        <v>-6359.8491332821595</v>
      </c>
      <c r="AO154" s="179">
        <f t="shared" si="126"/>
        <v>10016.57121</v>
      </c>
      <c r="AP154" s="163" t="str">
        <f t="shared" si="128"/>
        <v>Cost-Saving</v>
      </c>
      <c r="AQ154" s="163" t="str">
        <f t="shared" si="102"/>
        <v>Cost-Saving</v>
      </c>
      <c r="AR154" s="167">
        <f t="shared" si="100"/>
        <v>-0.63493275292974827</v>
      </c>
      <c r="AS154" s="167">
        <f t="shared" si="103"/>
        <v>0.97</v>
      </c>
      <c r="AT154" s="159" t="str">
        <f t="shared" si="116"/>
        <v>Cost-Saving</v>
      </c>
      <c r="AU154" s="167">
        <f t="shared" si="104"/>
        <v>0.64</v>
      </c>
      <c r="AV154" s="162" t="str">
        <f t="shared" si="117"/>
        <v>Cost-Saving</v>
      </c>
      <c r="AW154" s="167">
        <f t="shared" si="105"/>
        <v>0.6292666176774443</v>
      </c>
      <c r="AX154" s="159" t="str">
        <f t="shared" si="118"/>
        <v>Cost-Saving</v>
      </c>
      <c r="AY154" s="167">
        <f t="shared" si="106"/>
        <v>0.22470477827865473</v>
      </c>
      <c r="AZ154" s="159" t="str">
        <f t="shared" si="119"/>
        <v>Cost-Saving</v>
      </c>
      <c r="BA154" s="167">
        <f t="shared" si="107"/>
        <v>0.92216934171082232</v>
      </c>
      <c r="BB154" s="159" t="str">
        <f t="shared" si="120"/>
        <v>Cost-Saving</v>
      </c>
      <c r="BC154" s="167">
        <f t="shared" si="108"/>
        <v>0.38219376705822333</v>
      </c>
      <c r="BD154" s="159" t="str">
        <f t="shared" si="121"/>
        <v>Cost-Saving</v>
      </c>
      <c r="BE154" s="162" t="s">
        <v>160</v>
      </c>
      <c r="BF154" s="162" t="s">
        <v>239</v>
      </c>
      <c r="BG154" s="168" t="str">
        <f t="shared" si="109"/>
        <v>.</v>
      </c>
      <c r="BH154" s="168" t="str">
        <f t="shared" si="110"/>
        <v>.</v>
      </c>
      <c r="BI154" s="163" t="str">
        <f t="shared" si="111"/>
        <v>.</v>
      </c>
      <c r="BJ154" s="163" t="str">
        <f t="shared" si="112"/>
        <v>.</v>
      </c>
      <c r="BK154" s="163" t="str">
        <f t="shared" si="122"/>
        <v>.</v>
      </c>
      <c r="BL154" s="163" t="str">
        <f t="shared" si="123"/>
        <v>.</v>
      </c>
      <c r="BM154" s="163">
        <f t="shared" si="124"/>
        <v>0</v>
      </c>
      <c r="BN154" s="163" t="s">
        <v>157</v>
      </c>
      <c r="BO154" s="162" t="str">
        <f t="shared" ref="BO154:BO170" si="129">IF(BN154="No", "", "")</f>
        <v/>
      </c>
      <c r="BP154" s="162" t="s">
        <v>272</v>
      </c>
      <c r="BQ154" s="162" t="s">
        <v>1425</v>
      </c>
    </row>
    <row r="155" spans="1:69">
      <c r="A155" s="159">
        <f t="shared" si="113"/>
        <v>45</v>
      </c>
      <c r="B155" s="159">
        <f t="shared" si="114"/>
        <v>2</v>
      </c>
      <c r="C155" s="160" t="str">
        <f t="shared" si="101"/>
        <v>4502</v>
      </c>
      <c r="D155" s="159" t="s">
        <v>64</v>
      </c>
      <c r="E155" s="159">
        <v>2010</v>
      </c>
      <c r="F155" s="162" t="s">
        <v>65</v>
      </c>
      <c r="G155" s="182" t="s">
        <v>537</v>
      </c>
      <c r="H155" s="163" t="str">
        <f t="shared" ref="H155" si="130">VLOOKUP(G155,income,T155-1985,FALSE)</f>
        <v>UM</v>
      </c>
      <c r="I155" s="163" t="s">
        <v>157</v>
      </c>
      <c r="J155" s="180" t="s">
        <v>552</v>
      </c>
      <c r="K155" s="163" t="s">
        <v>183</v>
      </c>
      <c r="L155" s="163" t="s">
        <v>150</v>
      </c>
      <c r="M155" s="163" t="str">
        <f t="shared" si="115"/>
        <v>PCV10 vs PCV7</v>
      </c>
      <c r="N155" s="159" t="s">
        <v>152</v>
      </c>
      <c r="O155" s="159">
        <v>3</v>
      </c>
      <c r="P155" s="162" t="s">
        <v>148</v>
      </c>
      <c r="Q155" s="162" t="s">
        <v>167</v>
      </c>
      <c r="R155" s="162" t="s">
        <v>553</v>
      </c>
      <c r="S155" s="162" t="s">
        <v>537</v>
      </c>
      <c r="T155" s="159">
        <v>2008</v>
      </c>
      <c r="U155" s="165" t="s">
        <v>178</v>
      </c>
      <c r="V155" s="165" t="str">
        <f>IF(ISNUMBER(U155),U155/VLOOKUP($S155,xRates!$A$1:$AA$267,data!$T155-xRates!$B$1+2,FALSE),U155)</f>
        <v>.</v>
      </c>
      <c r="W155" s="162" t="s">
        <v>177</v>
      </c>
      <c r="Y155" s="165"/>
      <c r="AA155" s="163" t="s">
        <v>148</v>
      </c>
      <c r="AB155" s="162" t="s">
        <v>557</v>
      </c>
      <c r="AC155" s="162" t="s">
        <v>178</v>
      </c>
      <c r="AD155" s="163" t="s">
        <v>148</v>
      </c>
      <c r="AE155" s="162" t="s">
        <v>554</v>
      </c>
      <c r="AF155" s="163" t="s">
        <v>148</v>
      </c>
      <c r="AG155" s="163" t="s">
        <v>148</v>
      </c>
      <c r="AH155" s="163" t="s">
        <v>148</v>
      </c>
      <c r="AJ155" s="162" t="s">
        <v>555</v>
      </c>
      <c r="AK155" s="162" t="s">
        <v>558</v>
      </c>
      <c r="AL155" s="163" t="s">
        <v>159</v>
      </c>
      <c r="AM155" s="179">
        <v>-999999</v>
      </c>
      <c r="AN155" s="179">
        <f>AM155/xRates!N130</f>
        <v>-999999</v>
      </c>
      <c r="AO155" s="179">
        <f t="shared" ref="AO155" si="131">VLOOKUP(G155,gdppc,T155-1958,FALSE)</f>
        <v>10016.57121</v>
      </c>
      <c r="AP155" s="163" t="str">
        <f t="shared" si="128"/>
        <v>Cost-Saving</v>
      </c>
      <c r="AQ155" s="163" t="str">
        <f t="shared" si="102"/>
        <v>Cost-Saving</v>
      </c>
      <c r="AR155" s="167">
        <f t="shared" si="100"/>
        <v>-99.834462216137936</v>
      </c>
      <c r="AS155" s="167">
        <f t="shared" si="103"/>
        <v>0.97</v>
      </c>
      <c r="AT155" s="159" t="str">
        <f t="shared" si="116"/>
        <v>Cost-Saving</v>
      </c>
      <c r="AU155" s="167">
        <f t="shared" si="104"/>
        <v>0.64</v>
      </c>
      <c r="AV155" s="162" t="str">
        <f t="shared" si="117"/>
        <v>Cost-Saving</v>
      </c>
      <c r="AW155" s="167">
        <f t="shared" si="105"/>
        <v>0.6292666176774443</v>
      </c>
      <c r="AX155" s="159" t="str">
        <f t="shared" si="118"/>
        <v>Cost-Saving</v>
      </c>
      <c r="AY155" s="167">
        <f t="shared" si="106"/>
        <v>0.22470477827865473</v>
      </c>
      <c r="AZ155" s="159" t="str">
        <f t="shared" si="119"/>
        <v>Cost-Saving</v>
      </c>
      <c r="BA155" s="167">
        <f t="shared" si="107"/>
        <v>0.92216934171082232</v>
      </c>
      <c r="BB155" s="159" t="str">
        <f t="shared" si="120"/>
        <v>Cost-Saving</v>
      </c>
      <c r="BC155" s="167">
        <f t="shared" si="108"/>
        <v>0.38219376705822333</v>
      </c>
      <c r="BD155" s="159" t="str">
        <f t="shared" si="121"/>
        <v>Cost-Saving</v>
      </c>
      <c r="BE155" s="162" t="s">
        <v>160</v>
      </c>
      <c r="BF155" s="162" t="s">
        <v>239</v>
      </c>
      <c r="BG155" s="168" t="str">
        <f t="shared" si="109"/>
        <v>.</v>
      </c>
      <c r="BH155" s="168" t="str">
        <f t="shared" si="110"/>
        <v>.</v>
      </c>
      <c r="BI155" s="163" t="str">
        <f t="shared" si="111"/>
        <v>.</v>
      </c>
      <c r="BJ155" s="163" t="str">
        <f t="shared" si="112"/>
        <v>.</v>
      </c>
      <c r="BK155" s="163" t="str">
        <f t="shared" si="122"/>
        <v>.</v>
      </c>
      <c r="BL155" s="163" t="str">
        <f t="shared" si="123"/>
        <v>.</v>
      </c>
      <c r="BM155" s="163">
        <f t="shared" si="124"/>
        <v>0</v>
      </c>
      <c r="BN155" s="163" t="s">
        <v>157</v>
      </c>
      <c r="BO155" s="162" t="str">
        <f t="shared" si="129"/>
        <v/>
      </c>
      <c r="BP155" s="162" t="s">
        <v>272</v>
      </c>
      <c r="BQ155" s="162" t="s">
        <v>1425</v>
      </c>
    </row>
    <row r="156" spans="1:69">
      <c r="A156" s="159">
        <f t="shared" si="113"/>
        <v>46</v>
      </c>
      <c r="B156" s="159">
        <f t="shared" si="114"/>
        <v>1</v>
      </c>
      <c r="C156" s="160" t="str">
        <f t="shared" si="101"/>
        <v>4601</v>
      </c>
      <c r="D156" s="159" t="s">
        <v>66</v>
      </c>
      <c r="E156" s="159">
        <v>2015</v>
      </c>
      <c r="F156" s="162" t="s">
        <v>67</v>
      </c>
      <c r="G156" s="182" t="s">
        <v>559</v>
      </c>
      <c r="H156" s="163" t="str">
        <f t="shared" si="125"/>
        <v>UM</v>
      </c>
      <c r="I156" s="163" t="s">
        <v>157</v>
      </c>
      <c r="J156" s="180" t="s">
        <v>560</v>
      </c>
      <c r="K156" s="163" t="s">
        <v>183</v>
      </c>
      <c r="L156" s="163" t="s">
        <v>151</v>
      </c>
      <c r="M156" s="163" t="str">
        <f t="shared" si="115"/>
        <v>PCV10 vs NoVax</v>
      </c>
      <c r="N156" s="159" t="s">
        <v>177</v>
      </c>
      <c r="O156" s="159" t="s">
        <v>178</v>
      </c>
      <c r="P156" s="162" t="s">
        <v>148</v>
      </c>
      <c r="Q156" s="162" t="s">
        <v>153</v>
      </c>
      <c r="R156" s="162" t="s">
        <v>154</v>
      </c>
      <c r="S156" s="162" t="s">
        <v>155</v>
      </c>
      <c r="T156" s="159">
        <v>2014</v>
      </c>
      <c r="U156" s="165">
        <v>14.12</v>
      </c>
      <c r="V156" s="165">
        <f>IF(ISNUMBER(U156),U156/VLOOKUP($S156,xRates!$A$1:$AA$267,data!$T156-xRates!$B$1+2,FALSE),U156)</f>
        <v>14.12</v>
      </c>
      <c r="W156" s="162" t="s">
        <v>561</v>
      </c>
      <c r="Y156" s="165"/>
      <c r="AA156" s="163" t="s">
        <v>157</v>
      </c>
      <c r="AB156" s="162"/>
      <c r="AC156" s="162" t="str">
        <f t="shared" ref="AC156:AC169" si="132">IF(AA156="No","","")</f>
        <v/>
      </c>
      <c r="AD156" s="163" t="s">
        <v>157</v>
      </c>
      <c r="AE156" s="162" t="str">
        <f t="shared" ref="AE156:AE169" si="133">IF(AD156="No", "", "")</f>
        <v/>
      </c>
      <c r="AF156" s="163" t="s">
        <v>148</v>
      </c>
      <c r="AG156" s="163" t="s">
        <v>148</v>
      </c>
      <c r="AH156" s="163" t="s">
        <v>148</v>
      </c>
      <c r="AJ156" s="162" t="s">
        <v>562</v>
      </c>
      <c r="AK156" s="162" t="s">
        <v>563</v>
      </c>
      <c r="AL156" s="163" t="s">
        <v>159</v>
      </c>
      <c r="AM156" s="179">
        <v>1340</v>
      </c>
      <c r="AN156" s="179">
        <f>(AM156*ppp!$P$68)/xRates!$T$59</f>
        <v>729.54644680023227</v>
      </c>
      <c r="AO156" s="179">
        <f t="shared" si="126"/>
        <v>6377.0939289999997</v>
      </c>
      <c r="AP156" s="163" t="str">
        <f t="shared" si="128"/>
        <v>Cost-Effective</v>
      </c>
      <c r="AQ156" s="163" t="str">
        <f t="shared" si="102"/>
        <v>Cost-Effective</v>
      </c>
      <c r="AR156" s="167">
        <f t="shared" si="100"/>
        <v>0.11440108220495247</v>
      </c>
      <c r="AS156" s="167">
        <f t="shared" si="103"/>
        <v>1.1200000000000001</v>
      </c>
      <c r="AT156" s="159" t="str">
        <f t="shared" si="116"/>
        <v>Cost-Effective</v>
      </c>
      <c r="AU156" s="167">
        <f t="shared" si="104"/>
        <v>0.72</v>
      </c>
      <c r="AV156" s="162" t="str">
        <f t="shared" si="117"/>
        <v>Cost-Effective</v>
      </c>
      <c r="AW156" s="167">
        <f t="shared" si="105"/>
        <v>0.52688663945489422</v>
      </c>
      <c r="AX156" s="159" t="str">
        <f t="shared" si="118"/>
        <v>Cost-Effective</v>
      </c>
      <c r="AY156" s="167">
        <f t="shared" si="106"/>
        <v>0.14166992687317431</v>
      </c>
      <c r="AZ156" s="159" t="str">
        <f t="shared" si="119"/>
        <v>Cost-Effective</v>
      </c>
      <c r="BA156" s="167">
        <f t="shared" si="107"/>
        <v>1.342220475731396</v>
      </c>
      <c r="BB156" s="159" t="str">
        <f t="shared" si="120"/>
        <v>Cost-Effective</v>
      </c>
      <c r="BC156" s="167">
        <f t="shared" si="108"/>
        <v>0.55620510853763905</v>
      </c>
      <c r="BD156" s="159" t="str">
        <f t="shared" si="121"/>
        <v>Cost-Effective</v>
      </c>
      <c r="BE156" s="162" t="s">
        <v>160</v>
      </c>
      <c r="BF156" s="162" t="s">
        <v>174</v>
      </c>
      <c r="BG156" s="168">
        <f t="shared" si="109"/>
        <v>0</v>
      </c>
      <c r="BH156" s="168">
        <f t="shared" si="110"/>
        <v>0</v>
      </c>
      <c r="BI156" s="163">
        <f t="shared" si="111"/>
        <v>0</v>
      </c>
      <c r="BJ156" s="163">
        <f t="shared" si="112"/>
        <v>0</v>
      </c>
      <c r="BK156" s="163">
        <f t="shared" si="122"/>
        <v>0</v>
      </c>
      <c r="BL156" s="163">
        <f t="shared" si="123"/>
        <v>0</v>
      </c>
      <c r="BM156" s="163">
        <f t="shared" si="124"/>
        <v>0</v>
      </c>
      <c r="BN156" s="163" t="s">
        <v>157</v>
      </c>
      <c r="BO156" s="162" t="str">
        <f t="shared" si="129"/>
        <v/>
      </c>
      <c r="BP156" s="162" t="s">
        <v>1419</v>
      </c>
      <c r="BQ156" s="169" t="s">
        <v>1426</v>
      </c>
    </row>
    <row r="157" spans="1:69">
      <c r="A157" s="159">
        <f t="shared" si="113"/>
        <v>46</v>
      </c>
      <c r="B157" s="159">
        <f t="shared" si="114"/>
        <v>2</v>
      </c>
      <c r="C157" s="160" t="str">
        <f t="shared" si="101"/>
        <v>4602</v>
      </c>
      <c r="D157" s="159" t="s">
        <v>66</v>
      </c>
      <c r="E157" s="159">
        <v>2015</v>
      </c>
      <c r="F157" s="162" t="s">
        <v>67</v>
      </c>
      <c r="G157" s="182" t="s">
        <v>559</v>
      </c>
      <c r="H157" s="163" t="str">
        <f t="shared" si="125"/>
        <v>UM</v>
      </c>
      <c r="I157" s="163" t="s">
        <v>157</v>
      </c>
      <c r="J157" s="180" t="s">
        <v>564</v>
      </c>
      <c r="K157" s="163" t="s">
        <v>186</v>
      </c>
      <c r="L157" s="163" t="s">
        <v>151</v>
      </c>
      <c r="M157" s="163" t="str">
        <f t="shared" si="115"/>
        <v>PCV13 vs NoVax</v>
      </c>
      <c r="N157" s="159" t="s">
        <v>177</v>
      </c>
      <c r="O157" s="159" t="s">
        <v>178</v>
      </c>
      <c r="P157" s="162" t="s">
        <v>148</v>
      </c>
      <c r="Q157" s="162" t="s">
        <v>153</v>
      </c>
      <c r="R157" s="162" t="s">
        <v>154</v>
      </c>
      <c r="S157" s="162" t="s">
        <v>155</v>
      </c>
      <c r="T157" s="159">
        <v>2014</v>
      </c>
      <c r="U157" s="165">
        <v>15.68</v>
      </c>
      <c r="V157" s="165">
        <f>IF(ISNUMBER(U157),U157/VLOOKUP($S157,xRates!$A$1:$AA$267,data!$T157-xRates!$B$1+2,FALSE),U157)</f>
        <v>15.68</v>
      </c>
      <c r="W157" s="162" t="s">
        <v>561</v>
      </c>
      <c r="Y157" s="165"/>
      <c r="AA157" s="163" t="s">
        <v>157</v>
      </c>
      <c r="AB157" s="162"/>
      <c r="AC157" s="162" t="str">
        <f t="shared" si="132"/>
        <v/>
      </c>
      <c r="AD157" s="163" t="s">
        <v>157</v>
      </c>
      <c r="AE157" s="162" t="str">
        <f t="shared" si="133"/>
        <v/>
      </c>
      <c r="AF157" s="163" t="s">
        <v>148</v>
      </c>
      <c r="AG157" s="163" t="s">
        <v>148</v>
      </c>
      <c r="AH157" s="163" t="s">
        <v>148</v>
      </c>
      <c r="AJ157" s="162" t="s">
        <v>565</v>
      </c>
      <c r="AK157" s="162" t="s">
        <v>566</v>
      </c>
      <c r="AL157" s="163" t="s">
        <v>159</v>
      </c>
      <c r="AM157" s="179">
        <v>1166</v>
      </c>
      <c r="AN157" s="179">
        <f>(AM157*ppp!$P$68)/xRates!$T$59</f>
        <v>634.81429624557518</v>
      </c>
      <c r="AO157" s="179">
        <f t="shared" si="126"/>
        <v>6377.0939289999997</v>
      </c>
      <c r="AP157" s="163" t="str">
        <f t="shared" si="128"/>
        <v>Cost-Effective</v>
      </c>
      <c r="AQ157" s="163" t="str">
        <f t="shared" si="102"/>
        <v>Cost-Effective</v>
      </c>
      <c r="AR157" s="167">
        <f t="shared" si="100"/>
        <v>9.9546016306697432E-2</v>
      </c>
      <c r="AS157" s="167">
        <f t="shared" si="103"/>
        <v>1.1200000000000001</v>
      </c>
      <c r="AT157" s="159" t="str">
        <f t="shared" si="116"/>
        <v>Cost-Effective</v>
      </c>
      <c r="AU157" s="167">
        <f t="shared" si="104"/>
        <v>0.72</v>
      </c>
      <c r="AV157" s="162" t="str">
        <f t="shared" si="117"/>
        <v>Cost-Effective</v>
      </c>
      <c r="AW157" s="167">
        <f t="shared" si="105"/>
        <v>0.52688663945489422</v>
      </c>
      <c r="AX157" s="159" t="str">
        <f t="shared" si="118"/>
        <v>Cost-Effective</v>
      </c>
      <c r="AY157" s="167">
        <f t="shared" si="106"/>
        <v>0.14166992687317431</v>
      </c>
      <c r="AZ157" s="159" t="str">
        <f t="shared" si="119"/>
        <v>Cost-Effective</v>
      </c>
      <c r="BA157" s="167">
        <f t="shared" si="107"/>
        <v>1.342220475731396</v>
      </c>
      <c r="BB157" s="159" t="str">
        <f t="shared" si="120"/>
        <v>Cost-Effective</v>
      </c>
      <c r="BC157" s="167">
        <f t="shared" si="108"/>
        <v>0.55620510853763905</v>
      </c>
      <c r="BD157" s="159" t="str">
        <f t="shared" si="121"/>
        <v>Cost-Effective</v>
      </c>
      <c r="BE157" s="162" t="s">
        <v>160</v>
      </c>
      <c r="BF157" s="162" t="s">
        <v>174</v>
      </c>
      <c r="BG157" s="168">
        <f t="shared" si="109"/>
        <v>0</v>
      </c>
      <c r="BH157" s="168">
        <f t="shared" si="110"/>
        <v>0</v>
      </c>
      <c r="BI157" s="163">
        <f t="shared" si="111"/>
        <v>0</v>
      </c>
      <c r="BJ157" s="163">
        <f t="shared" si="112"/>
        <v>0</v>
      </c>
      <c r="BK157" s="163">
        <f t="shared" si="122"/>
        <v>0</v>
      </c>
      <c r="BL157" s="163">
        <f t="shared" si="123"/>
        <v>0</v>
      </c>
      <c r="BM157" s="163">
        <f t="shared" si="124"/>
        <v>0</v>
      </c>
      <c r="BN157" s="163" t="s">
        <v>157</v>
      </c>
      <c r="BO157" s="162" t="str">
        <f t="shared" si="129"/>
        <v/>
      </c>
      <c r="BP157" s="162" t="s">
        <v>1419</v>
      </c>
      <c r="BQ157" s="169" t="s">
        <v>1426</v>
      </c>
    </row>
    <row r="158" spans="1:69">
      <c r="A158" s="159">
        <f t="shared" si="113"/>
        <v>46</v>
      </c>
      <c r="B158" s="159">
        <f t="shared" si="114"/>
        <v>3</v>
      </c>
      <c r="C158" s="160" t="str">
        <f t="shared" si="101"/>
        <v>4603</v>
      </c>
      <c r="D158" s="159" t="s">
        <v>66</v>
      </c>
      <c r="E158" s="159">
        <v>2015</v>
      </c>
      <c r="F158" s="162" t="s">
        <v>67</v>
      </c>
      <c r="G158" s="182" t="s">
        <v>567</v>
      </c>
      <c r="H158" s="163" t="str">
        <f t="shared" si="125"/>
        <v>LM</v>
      </c>
      <c r="I158" s="163" t="s">
        <v>157</v>
      </c>
      <c r="J158" s="180" t="s">
        <v>560</v>
      </c>
      <c r="K158" s="163" t="s">
        <v>183</v>
      </c>
      <c r="L158" s="163" t="s">
        <v>151</v>
      </c>
      <c r="M158" s="163" t="str">
        <f t="shared" si="115"/>
        <v>PCV10 vs NoVax</v>
      </c>
      <c r="N158" s="159" t="s">
        <v>177</v>
      </c>
      <c r="O158" s="159" t="s">
        <v>178</v>
      </c>
      <c r="P158" s="162" t="s">
        <v>148</v>
      </c>
      <c r="Q158" s="162" t="s">
        <v>153</v>
      </c>
      <c r="R158" s="162" t="s">
        <v>154</v>
      </c>
      <c r="S158" s="162" t="s">
        <v>155</v>
      </c>
      <c r="T158" s="159">
        <v>2014</v>
      </c>
      <c r="U158" s="165">
        <v>14.12</v>
      </c>
      <c r="V158" s="165">
        <f>IF(ISNUMBER(U158),U158/VLOOKUP($S158,xRates!$A$1:$AA$267,data!$T158-xRates!$B$1+2,FALSE),U158)</f>
        <v>14.12</v>
      </c>
      <c r="W158" s="162" t="s">
        <v>561</v>
      </c>
      <c r="Y158" s="165"/>
      <c r="AA158" s="163" t="s">
        <v>157</v>
      </c>
      <c r="AB158" s="162"/>
      <c r="AC158" s="162" t="str">
        <f t="shared" si="132"/>
        <v/>
      </c>
      <c r="AD158" s="163" t="s">
        <v>157</v>
      </c>
      <c r="AE158" s="162" t="str">
        <f t="shared" si="133"/>
        <v/>
      </c>
      <c r="AF158" s="163" t="s">
        <v>148</v>
      </c>
      <c r="AG158" s="163" t="s">
        <v>148</v>
      </c>
      <c r="AH158" s="163" t="s">
        <v>148</v>
      </c>
      <c r="AJ158" s="162" t="s">
        <v>562</v>
      </c>
      <c r="AK158" s="162" t="s">
        <v>568</v>
      </c>
      <c r="AL158" s="163" t="s">
        <v>159</v>
      </c>
      <c r="AM158" s="179">
        <v>796</v>
      </c>
      <c r="AN158" s="179">
        <f>(AM158*ppp!$P$99)/xRates!$T$87</f>
        <v>394.38250074639456</v>
      </c>
      <c r="AO158" s="179">
        <f t="shared" si="126"/>
        <v>2190.653139</v>
      </c>
      <c r="AP158" s="163" t="str">
        <f t="shared" si="128"/>
        <v>Cost-Effective</v>
      </c>
      <c r="AQ158" s="163" t="str">
        <f t="shared" si="102"/>
        <v>Cost-Effective</v>
      </c>
      <c r="AR158" s="167">
        <f t="shared" si="100"/>
        <v>0.18002964217622522</v>
      </c>
      <c r="AS158" s="167">
        <f t="shared" si="103"/>
        <v>1</v>
      </c>
      <c r="AT158" s="159" t="str">
        <f t="shared" si="116"/>
        <v>Cost-Effective</v>
      </c>
      <c r="AU158" s="167">
        <f t="shared" si="104"/>
        <v>0.68</v>
      </c>
      <c r="AV158" s="162" t="str">
        <f t="shared" si="117"/>
        <v>Cost-Effective</v>
      </c>
      <c r="AW158" s="167">
        <f t="shared" si="105"/>
        <v>0.56367107654545934</v>
      </c>
      <c r="AX158" s="159" t="str">
        <f t="shared" si="118"/>
        <v>Cost-Effective</v>
      </c>
      <c r="AY158" s="167">
        <f t="shared" si="106"/>
        <v>7.1356831270410731E-2</v>
      </c>
      <c r="AZ158" s="159" t="str">
        <f t="shared" si="119"/>
        <v>Not Cost-Effective</v>
      </c>
      <c r="BA158" s="167">
        <f t="shared" si="107"/>
        <v>0.7952412603385457</v>
      </c>
      <c r="BB158" s="159" t="str">
        <f t="shared" si="120"/>
        <v>Cost-Effective</v>
      </c>
      <c r="BC158" s="167">
        <f t="shared" si="108"/>
        <v>0.32036526916737279</v>
      </c>
      <c r="BD158" s="159" t="str">
        <f t="shared" si="121"/>
        <v>Cost-Effective</v>
      </c>
      <c r="BE158" s="162" t="s">
        <v>160</v>
      </c>
      <c r="BF158" s="162" t="s">
        <v>174</v>
      </c>
      <c r="BG158" s="168">
        <f t="shared" si="109"/>
        <v>0</v>
      </c>
      <c r="BH158" s="168">
        <f t="shared" si="110"/>
        <v>0</v>
      </c>
      <c r="BI158" s="163">
        <f t="shared" si="111"/>
        <v>1</v>
      </c>
      <c r="BJ158" s="163">
        <f t="shared" si="112"/>
        <v>0</v>
      </c>
      <c r="BK158" s="163">
        <f t="shared" si="122"/>
        <v>0</v>
      </c>
      <c r="BL158" s="163">
        <f t="shared" si="123"/>
        <v>0</v>
      </c>
      <c r="BM158" s="163">
        <f t="shared" si="124"/>
        <v>1</v>
      </c>
      <c r="BN158" s="163" t="s">
        <v>157</v>
      </c>
      <c r="BO158" s="162" t="str">
        <f t="shared" si="129"/>
        <v/>
      </c>
      <c r="BP158" s="162" t="s">
        <v>1419</v>
      </c>
      <c r="BQ158" s="169" t="s">
        <v>1426</v>
      </c>
    </row>
    <row r="159" spans="1:69">
      <c r="A159" s="159">
        <f t="shared" si="113"/>
        <v>46</v>
      </c>
      <c r="B159" s="159">
        <f t="shared" si="114"/>
        <v>4</v>
      </c>
      <c r="C159" s="160" t="str">
        <f t="shared" si="101"/>
        <v>4604</v>
      </c>
      <c r="D159" s="159" t="s">
        <v>66</v>
      </c>
      <c r="E159" s="159">
        <v>2015</v>
      </c>
      <c r="F159" s="162" t="s">
        <v>67</v>
      </c>
      <c r="G159" s="182" t="s">
        <v>567</v>
      </c>
      <c r="H159" s="163" t="str">
        <f t="shared" si="125"/>
        <v>LM</v>
      </c>
      <c r="I159" s="163" t="s">
        <v>157</v>
      </c>
      <c r="J159" s="180" t="s">
        <v>564</v>
      </c>
      <c r="K159" s="163" t="s">
        <v>186</v>
      </c>
      <c r="L159" s="163" t="s">
        <v>151</v>
      </c>
      <c r="M159" s="163" t="str">
        <f t="shared" si="115"/>
        <v>PCV13 vs NoVax</v>
      </c>
      <c r="N159" s="159" t="s">
        <v>177</v>
      </c>
      <c r="O159" s="159" t="s">
        <v>178</v>
      </c>
      <c r="P159" s="162" t="s">
        <v>148</v>
      </c>
      <c r="Q159" s="162" t="s">
        <v>153</v>
      </c>
      <c r="R159" s="162" t="s">
        <v>154</v>
      </c>
      <c r="S159" s="162" t="s">
        <v>155</v>
      </c>
      <c r="T159" s="159">
        <v>2014</v>
      </c>
      <c r="U159" s="165">
        <v>15.68</v>
      </c>
      <c r="V159" s="165">
        <f>IF(ISNUMBER(U159),U159/VLOOKUP($S159,xRates!$A$1:$AA$267,data!$T159-xRates!$B$1+2,FALSE),U159)</f>
        <v>15.68</v>
      </c>
      <c r="W159" s="162" t="s">
        <v>561</v>
      </c>
      <c r="Y159" s="165"/>
      <c r="AA159" s="163" t="s">
        <v>157</v>
      </c>
      <c r="AB159" s="162"/>
      <c r="AC159" s="162" t="str">
        <f t="shared" si="132"/>
        <v/>
      </c>
      <c r="AD159" s="163" t="s">
        <v>157</v>
      </c>
      <c r="AE159" s="162" t="str">
        <f t="shared" si="133"/>
        <v/>
      </c>
      <c r="AF159" s="163" t="s">
        <v>148</v>
      </c>
      <c r="AG159" s="163" t="s">
        <v>148</v>
      </c>
      <c r="AH159" s="163" t="s">
        <v>148</v>
      </c>
      <c r="AJ159" s="162" t="s">
        <v>565</v>
      </c>
      <c r="AK159" s="162" t="s">
        <v>569</v>
      </c>
      <c r="AL159" s="163" t="s">
        <v>159</v>
      </c>
      <c r="AM159" s="179">
        <v>691</v>
      </c>
      <c r="AN159" s="179">
        <f>(AM159*ppp!$P$99)/xRates!$T$87</f>
        <v>342.35968343688273</v>
      </c>
      <c r="AO159" s="179">
        <f t="shared" si="126"/>
        <v>2190.653139</v>
      </c>
      <c r="AP159" s="163" t="str">
        <f t="shared" si="128"/>
        <v>Cost-Effective</v>
      </c>
      <c r="AQ159" s="163" t="str">
        <f t="shared" si="102"/>
        <v>Cost-Effective</v>
      </c>
      <c r="AR159" s="167">
        <f t="shared" si="100"/>
        <v>0.15628201349720053</v>
      </c>
      <c r="AS159" s="167">
        <f t="shared" si="103"/>
        <v>1</v>
      </c>
      <c r="AT159" s="159" t="str">
        <f t="shared" si="116"/>
        <v>Cost-Effective</v>
      </c>
      <c r="AU159" s="167">
        <f t="shared" si="104"/>
        <v>0.68</v>
      </c>
      <c r="AV159" s="162" t="str">
        <f t="shared" si="117"/>
        <v>Cost-Effective</v>
      </c>
      <c r="AW159" s="167">
        <f t="shared" si="105"/>
        <v>0.56367107654545934</v>
      </c>
      <c r="AX159" s="159" t="str">
        <f t="shared" si="118"/>
        <v>Cost-Effective</v>
      </c>
      <c r="AY159" s="167">
        <f t="shared" si="106"/>
        <v>7.1356831270410731E-2</v>
      </c>
      <c r="AZ159" s="159" t="str">
        <f t="shared" si="119"/>
        <v>Not Cost-Effective</v>
      </c>
      <c r="BA159" s="167">
        <f t="shared" si="107"/>
        <v>0.7952412603385457</v>
      </c>
      <c r="BB159" s="159" t="str">
        <f t="shared" si="120"/>
        <v>Cost-Effective</v>
      </c>
      <c r="BC159" s="167">
        <f t="shared" si="108"/>
        <v>0.32036526916737279</v>
      </c>
      <c r="BD159" s="159" t="str">
        <f t="shared" si="121"/>
        <v>Cost-Effective</v>
      </c>
      <c r="BE159" s="162" t="s">
        <v>160</v>
      </c>
      <c r="BF159" s="162" t="s">
        <v>174</v>
      </c>
      <c r="BG159" s="168">
        <f t="shared" si="109"/>
        <v>0</v>
      </c>
      <c r="BH159" s="168">
        <f t="shared" si="110"/>
        <v>0</v>
      </c>
      <c r="BI159" s="163">
        <f t="shared" si="111"/>
        <v>1</v>
      </c>
      <c r="BJ159" s="163">
        <f t="shared" si="112"/>
        <v>0</v>
      </c>
      <c r="BK159" s="163">
        <f t="shared" si="122"/>
        <v>0</v>
      </c>
      <c r="BL159" s="163">
        <f t="shared" si="123"/>
        <v>0</v>
      </c>
      <c r="BM159" s="163">
        <f t="shared" si="124"/>
        <v>1</v>
      </c>
      <c r="BN159" s="163" t="s">
        <v>157</v>
      </c>
      <c r="BO159" s="162" t="str">
        <f t="shared" si="129"/>
        <v/>
      </c>
      <c r="BP159" s="162" t="s">
        <v>1419</v>
      </c>
      <c r="BQ159" s="169" t="s">
        <v>1426</v>
      </c>
    </row>
    <row r="160" spans="1:69">
      <c r="A160" s="159">
        <f t="shared" si="113"/>
        <v>46</v>
      </c>
      <c r="B160" s="159">
        <f t="shared" si="114"/>
        <v>5</v>
      </c>
      <c r="C160" s="160" t="str">
        <f t="shared" si="101"/>
        <v>4605</v>
      </c>
      <c r="D160" s="159" t="s">
        <v>66</v>
      </c>
      <c r="E160" s="159">
        <v>2015</v>
      </c>
      <c r="F160" s="162" t="s">
        <v>67</v>
      </c>
      <c r="G160" s="182" t="s">
        <v>482</v>
      </c>
      <c r="H160" s="163" t="str">
        <f t="shared" si="125"/>
        <v>UM</v>
      </c>
      <c r="I160" s="163" t="s">
        <v>157</v>
      </c>
      <c r="J160" s="180" t="s">
        <v>560</v>
      </c>
      <c r="K160" s="163" t="s">
        <v>183</v>
      </c>
      <c r="L160" s="163" t="s">
        <v>151</v>
      </c>
      <c r="M160" s="163" t="str">
        <f t="shared" si="115"/>
        <v>PCV10 vs NoVax</v>
      </c>
      <c r="N160" s="159" t="s">
        <v>177</v>
      </c>
      <c r="O160" s="159" t="s">
        <v>178</v>
      </c>
      <c r="P160" s="162" t="s">
        <v>148</v>
      </c>
      <c r="Q160" s="162" t="s">
        <v>153</v>
      </c>
      <c r="R160" s="162" t="s">
        <v>154</v>
      </c>
      <c r="S160" s="162" t="s">
        <v>155</v>
      </c>
      <c r="T160" s="159">
        <v>2014</v>
      </c>
      <c r="U160" s="165">
        <v>14.12</v>
      </c>
      <c r="V160" s="165">
        <f>IF(ISNUMBER(U160),U160/VLOOKUP($S160,xRates!$A$1:$AA$267,data!$T160-xRates!$B$1+2,FALSE),U160)</f>
        <v>14.12</v>
      </c>
      <c r="W160" s="162" t="s">
        <v>561</v>
      </c>
      <c r="Y160" s="165"/>
      <c r="AA160" s="163" t="s">
        <v>157</v>
      </c>
      <c r="AB160" s="162"/>
      <c r="AC160" s="162" t="str">
        <f t="shared" si="132"/>
        <v/>
      </c>
      <c r="AD160" s="163" t="s">
        <v>157</v>
      </c>
      <c r="AE160" s="162" t="str">
        <f t="shared" si="133"/>
        <v/>
      </c>
      <c r="AF160" s="163" t="s">
        <v>148</v>
      </c>
      <c r="AG160" s="163" t="s">
        <v>148</v>
      </c>
      <c r="AH160" s="163" t="s">
        <v>148</v>
      </c>
      <c r="AJ160" s="162" t="s">
        <v>562</v>
      </c>
      <c r="AK160" s="162" t="s">
        <v>570</v>
      </c>
      <c r="AL160" s="163" t="s">
        <v>159</v>
      </c>
      <c r="AM160" s="179">
        <v>1226</v>
      </c>
      <c r="AN160" s="179">
        <f>(AM160*ppp!$P$197)/xRates!$T$155</f>
        <v>654.8609366514122</v>
      </c>
      <c r="AO160" s="179">
        <f t="shared" si="126"/>
        <v>6118.3181100000002</v>
      </c>
      <c r="AP160" s="163" t="str">
        <f t="shared" si="128"/>
        <v>Cost-Effective</v>
      </c>
      <c r="AQ160" s="163" t="str">
        <f t="shared" si="102"/>
        <v>Cost-Effective</v>
      </c>
      <c r="AR160" s="167">
        <f t="shared" si="100"/>
        <v>0.10703283563845492</v>
      </c>
      <c r="AS160" s="167">
        <f t="shared" si="103"/>
        <v>1.42</v>
      </c>
      <c r="AT160" s="159" t="str">
        <f t="shared" si="116"/>
        <v>Cost-Effective</v>
      </c>
      <c r="AU160" s="167">
        <f t="shared" si="104"/>
        <v>0.83</v>
      </c>
      <c r="AV160" s="162" t="str">
        <f t="shared" si="117"/>
        <v>Cost-Effective</v>
      </c>
      <c r="AW160" s="167">
        <f t="shared" si="105"/>
        <v>0.36702186686280114</v>
      </c>
      <c r="AX160" s="159" t="str">
        <f t="shared" si="118"/>
        <v>Cost-Effective</v>
      </c>
      <c r="AY160" s="167">
        <f t="shared" si="106"/>
        <v>8.1522984654243125E-2</v>
      </c>
      <c r="AZ160" s="159" t="str">
        <f t="shared" si="119"/>
        <v>Not Cost-Effective</v>
      </c>
      <c r="BA160" s="167">
        <f t="shared" si="107"/>
        <v>1.1990418097854487</v>
      </c>
      <c r="BB160" s="159" t="str">
        <f t="shared" si="120"/>
        <v>Cost-Effective</v>
      </c>
      <c r="BC160" s="167">
        <f t="shared" si="108"/>
        <v>0.49693704267921418</v>
      </c>
      <c r="BD160" s="159" t="str">
        <f t="shared" si="121"/>
        <v>Cost-Effective</v>
      </c>
      <c r="BE160" s="162" t="s">
        <v>160</v>
      </c>
      <c r="BF160" s="162" t="s">
        <v>174</v>
      </c>
      <c r="BG160" s="168">
        <f t="shared" si="109"/>
        <v>0</v>
      </c>
      <c r="BH160" s="168">
        <f t="shared" si="110"/>
        <v>0</v>
      </c>
      <c r="BI160" s="163">
        <f t="shared" si="111"/>
        <v>1</v>
      </c>
      <c r="BJ160" s="163">
        <f t="shared" si="112"/>
        <v>0</v>
      </c>
      <c r="BK160" s="163">
        <f t="shared" si="122"/>
        <v>0</v>
      </c>
      <c r="BL160" s="163">
        <f t="shared" si="123"/>
        <v>0</v>
      </c>
      <c r="BM160" s="163">
        <f t="shared" si="124"/>
        <v>1</v>
      </c>
      <c r="BN160" s="163" t="s">
        <v>157</v>
      </c>
      <c r="BO160" s="162" t="str">
        <f t="shared" si="129"/>
        <v/>
      </c>
      <c r="BP160" s="162" t="s">
        <v>1419</v>
      </c>
      <c r="BQ160" s="169" t="s">
        <v>1426</v>
      </c>
    </row>
    <row r="161" spans="1:69">
      <c r="A161" s="159">
        <f t="shared" si="113"/>
        <v>46</v>
      </c>
      <c r="B161" s="159">
        <f t="shared" si="114"/>
        <v>6</v>
      </c>
      <c r="C161" s="160" t="str">
        <f t="shared" si="101"/>
        <v>4606</v>
      </c>
      <c r="D161" s="159" t="s">
        <v>66</v>
      </c>
      <c r="E161" s="159">
        <v>2015</v>
      </c>
      <c r="F161" s="162" t="s">
        <v>67</v>
      </c>
      <c r="G161" s="182" t="s">
        <v>482</v>
      </c>
      <c r="H161" s="163" t="str">
        <f t="shared" si="125"/>
        <v>UM</v>
      </c>
      <c r="I161" s="163" t="s">
        <v>157</v>
      </c>
      <c r="J161" s="180" t="s">
        <v>564</v>
      </c>
      <c r="K161" s="163" t="s">
        <v>186</v>
      </c>
      <c r="L161" s="163" t="s">
        <v>151</v>
      </c>
      <c r="M161" s="163" t="str">
        <f t="shared" si="115"/>
        <v>PCV13 vs NoVax</v>
      </c>
      <c r="N161" s="159" t="s">
        <v>177</v>
      </c>
      <c r="O161" s="159" t="s">
        <v>178</v>
      </c>
      <c r="P161" s="162" t="s">
        <v>148</v>
      </c>
      <c r="Q161" s="162" t="s">
        <v>153</v>
      </c>
      <c r="R161" s="162" t="s">
        <v>154</v>
      </c>
      <c r="S161" s="162" t="s">
        <v>155</v>
      </c>
      <c r="T161" s="159">
        <v>2014</v>
      </c>
      <c r="U161" s="165">
        <v>15.68</v>
      </c>
      <c r="V161" s="165">
        <f>IF(ISNUMBER(U161),U161/VLOOKUP($S161,xRates!$A$1:$AA$267,data!$T161-xRates!$B$1+2,FALSE),U161)</f>
        <v>15.68</v>
      </c>
      <c r="W161" s="162" t="s">
        <v>561</v>
      </c>
      <c r="Y161" s="165"/>
      <c r="AA161" s="163" t="s">
        <v>157</v>
      </c>
      <c r="AB161" s="162"/>
      <c r="AC161" s="162" t="str">
        <f t="shared" si="132"/>
        <v/>
      </c>
      <c r="AD161" s="163" t="s">
        <v>157</v>
      </c>
      <c r="AE161" s="162" t="str">
        <f t="shared" si="133"/>
        <v/>
      </c>
      <c r="AF161" s="163" t="s">
        <v>148</v>
      </c>
      <c r="AG161" s="163" t="s">
        <v>148</v>
      </c>
      <c r="AH161" s="163" t="s">
        <v>148</v>
      </c>
      <c r="AJ161" s="162" t="s">
        <v>565</v>
      </c>
      <c r="AK161" s="162" t="s">
        <v>571</v>
      </c>
      <c r="AL161" s="163" t="s">
        <v>159</v>
      </c>
      <c r="AM161" s="179">
        <v>1026</v>
      </c>
      <c r="AN161" s="179">
        <f>(AM161*ppp!$P$197)/xRates!$T$155</f>
        <v>548.03207259734813</v>
      </c>
      <c r="AO161" s="179">
        <f t="shared" si="126"/>
        <v>6118.3181100000002</v>
      </c>
      <c r="AP161" s="163" t="str">
        <f t="shared" si="128"/>
        <v>Cost-Effective</v>
      </c>
      <c r="AQ161" s="163" t="str">
        <f t="shared" si="102"/>
        <v>Cost-Effective</v>
      </c>
      <c r="AR161" s="167">
        <f t="shared" si="100"/>
        <v>8.9572340428266506E-2</v>
      </c>
      <c r="AS161" s="167">
        <f t="shared" si="103"/>
        <v>1.42</v>
      </c>
      <c r="AT161" s="159" t="str">
        <f t="shared" si="116"/>
        <v>Cost-Effective</v>
      </c>
      <c r="AU161" s="167">
        <f t="shared" si="104"/>
        <v>0.83</v>
      </c>
      <c r="AV161" s="162" t="str">
        <f t="shared" si="117"/>
        <v>Cost-Effective</v>
      </c>
      <c r="AW161" s="167">
        <f t="shared" si="105"/>
        <v>0.36702186686280114</v>
      </c>
      <c r="AX161" s="159" t="str">
        <f t="shared" si="118"/>
        <v>Cost-Effective</v>
      </c>
      <c r="AY161" s="167">
        <f t="shared" si="106"/>
        <v>8.1522984654243125E-2</v>
      </c>
      <c r="AZ161" s="159" t="str">
        <f t="shared" si="119"/>
        <v>Not Cost-Effective</v>
      </c>
      <c r="BA161" s="167">
        <f t="shared" si="107"/>
        <v>1.1990418097854487</v>
      </c>
      <c r="BB161" s="159" t="str">
        <f t="shared" si="120"/>
        <v>Cost-Effective</v>
      </c>
      <c r="BC161" s="167">
        <f t="shared" si="108"/>
        <v>0.49693704267921418</v>
      </c>
      <c r="BD161" s="159" t="str">
        <f t="shared" si="121"/>
        <v>Cost-Effective</v>
      </c>
      <c r="BE161" s="162" t="s">
        <v>160</v>
      </c>
      <c r="BF161" s="162" t="s">
        <v>174</v>
      </c>
      <c r="BG161" s="168">
        <f t="shared" si="109"/>
        <v>0</v>
      </c>
      <c r="BH161" s="168">
        <f t="shared" si="110"/>
        <v>0</v>
      </c>
      <c r="BI161" s="163">
        <f t="shared" si="111"/>
        <v>1</v>
      </c>
      <c r="BJ161" s="163">
        <f t="shared" si="112"/>
        <v>0</v>
      </c>
      <c r="BK161" s="163">
        <f t="shared" si="122"/>
        <v>0</v>
      </c>
      <c r="BL161" s="163">
        <f t="shared" si="123"/>
        <v>0</v>
      </c>
      <c r="BM161" s="163">
        <f t="shared" si="124"/>
        <v>1</v>
      </c>
      <c r="BN161" s="163" t="s">
        <v>157</v>
      </c>
      <c r="BO161" s="162" t="str">
        <f t="shared" si="129"/>
        <v/>
      </c>
      <c r="BP161" s="162" t="s">
        <v>1419</v>
      </c>
      <c r="BQ161" s="169" t="s">
        <v>1426</v>
      </c>
    </row>
    <row r="162" spans="1:69">
      <c r="A162" s="159">
        <f t="shared" si="113"/>
        <v>47</v>
      </c>
      <c r="B162" s="159">
        <f t="shared" si="114"/>
        <v>1</v>
      </c>
      <c r="C162" s="160" t="str">
        <f t="shared" si="101"/>
        <v>4701</v>
      </c>
      <c r="D162" s="159" t="s">
        <v>69</v>
      </c>
      <c r="E162" s="159">
        <v>2018</v>
      </c>
      <c r="F162" s="162" t="s">
        <v>70</v>
      </c>
      <c r="G162" s="182" t="s">
        <v>421</v>
      </c>
      <c r="H162" s="163" t="str">
        <f t="shared" si="125"/>
        <v>UM</v>
      </c>
      <c r="I162" s="163" t="s">
        <v>157</v>
      </c>
      <c r="J162" s="180" t="s">
        <v>564</v>
      </c>
      <c r="K162" s="163" t="s">
        <v>186</v>
      </c>
      <c r="L162" s="163" t="s">
        <v>151</v>
      </c>
      <c r="M162" s="163" t="str">
        <f t="shared" si="115"/>
        <v>PCV13 vs NoVax</v>
      </c>
      <c r="N162" s="159" t="s">
        <v>152</v>
      </c>
      <c r="O162" s="159">
        <v>3</v>
      </c>
      <c r="P162" s="162" t="s">
        <v>148</v>
      </c>
      <c r="Q162" s="162" t="s">
        <v>167</v>
      </c>
      <c r="R162" s="162" t="s">
        <v>154</v>
      </c>
      <c r="S162" s="162" t="s">
        <v>155</v>
      </c>
      <c r="T162" s="159">
        <v>2014</v>
      </c>
      <c r="U162" s="165">
        <v>15.68</v>
      </c>
      <c r="V162" s="165">
        <f>IF(ISNUMBER(U162),U162/VLOOKUP($S162,xRates!$A$1:$AA$267,data!$T162-xRates!$B$1+2,FALSE),U162)</f>
        <v>15.68</v>
      </c>
      <c r="W162" s="162" t="s">
        <v>572</v>
      </c>
      <c r="Y162" s="165"/>
      <c r="AA162" s="163" t="s">
        <v>157</v>
      </c>
      <c r="AB162" s="162"/>
      <c r="AC162" s="162" t="str">
        <f t="shared" si="132"/>
        <v/>
      </c>
      <c r="AD162" s="163" t="s">
        <v>157</v>
      </c>
      <c r="AE162" s="162" t="str">
        <f t="shared" si="133"/>
        <v/>
      </c>
      <c r="AF162" s="163" t="s">
        <v>148</v>
      </c>
      <c r="AG162" s="163" t="s">
        <v>148</v>
      </c>
      <c r="AH162" s="163" t="s">
        <v>148</v>
      </c>
      <c r="AJ162" s="162"/>
      <c r="AK162" s="162" t="s">
        <v>573</v>
      </c>
      <c r="AL162" s="163" t="s">
        <v>469</v>
      </c>
      <c r="AM162" s="179">
        <v>2319</v>
      </c>
      <c r="AN162" s="179">
        <f>AM162</f>
        <v>2319</v>
      </c>
      <c r="AO162" s="179">
        <f t="shared" si="126"/>
        <v>8114.3439209999997</v>
      </c>
      <c r="AP162" s="163" t="str">
        <f t="shared" si="128"/>
        <v>Cost-Effective</v>
      </c>
      <c r="AQ162" s="163" t="str">
        <f t="shared" si="102"/>
        <v>Cost-Effective</v>
      </c>
      <c r="AR162" s="167">
        <f t="shared" si="100"/>
        <v>0.28579020344434819</v>
      </c>
      <c r="AS162" s="167">
        <f t="shared" ref="AS162:AS197" si="134">IFERROR(VLOOKUP(G162,ochalek,11,FALSE),".")</f>
        <v>1.89</v>
      </c>
      <c r="AT162" s="159" t="str">
        <f t="shared" si="116"/>
        <v>Cost-Effective</v>
      </c>
      <c r="AU162" s="167">
        <f t="shared" ref="AU162:AU197" si="135">IFERROR(VLOOKUP(G162,ochalek,10,FALSE),".")</f>
        <v>1.17</v>
      </c>
      <c r="AV162" s="162" t="str">
        <f t="shared" si="117"/>
        <v>Cost-Effective</v>
      </c>
      <c r="AW162" s="167">
        <f t="shared" ref="AW162:AW197" si="136">IFERROR(VLOOKUP(G162,woods,6,FALSE),".")</f>
        <v>0.67142448878179284</v>
      </c>
      <c r="AX162" s="159" t="str">
        <f t="shared" si="118"/>
        <v>Cost-Effective</v>
      </c>
      <c r="AY162" s="167">
        <f t="shared" ref="AY162:AY197" si="137">IFERROR(VLOOKUP(G162,woods,5,FALSE),".")</f>
        <v>0.16670017209696561</v>
      </c>
      <c r="AZ162" s="159" t="str">
        <f t="shared" si="119"/>
        <v>Not Cost-Effective</v>
      </c>
      <c r="BA162" s="167">
        <f t="shared" ref="BA162:BA191" si="138">IFERROR(VLOOKUP(G162,riviere,8,FALSE),".")</f>
        <v>1.3237396338136047</v>
      </c>
      <c r="BB162" s="159" t="str">
        <f t="shared" si="120"/>
        <v>Cost-Effective</v>
      </c>
      <c r="BC162" s="167">
        <f t="shared" ref="BC162:BC191" si="139">IFERROR(VLOOKUP(G162,riviere,7,FALSE),".")</f>
        <v>0.54863988350299309</v>
      </c>
      <c r="BD162" s="159" t="str">
        <f t="shared" si="121"/>
        <v>Cost-Effective</v>
      </c>
      <c r="BE162" s="162" t="s">
        <v>210</v>
      </c>
      <c r="BF162" s="162" t="s">
        <v>174</v>
      </c>
      <c r="BG162" s="168">
        <f t="shared" ref="BG162:BG191" si="140">IF(BF162="Cost-Effective",IF(AV162="Not Cost-Effective",1,0),".")</f>
        <v>0</v>
      </c>
      <c r="BH162" s="168">
        <f t="shared" ref="BH162:BH191" si="141">IF(BF162="Cost-Effective",IF(AT162="Not Cost-Effective",1,0),".")</f>
        <v>0</v>
      </c>
      <c r="BI162" s="163">
        <f t="shared" ref="BI162:BI191" si="142">IF(BF162="Cost-Effective",IF(AZ162="Not Cost-Effective",1,0),".")</f>
        <v>1</v>
      </c>
      <c r="BJ162" s="163">
        <f t="shared" ref="BJ162:BJ191" si="143">IF(BF162="Cost-Effective",IF(AX162="Not Cost-Effective",1,0),".")</f>
        <v>0</v>
      </c>
      <c r="BK162" s="163">
        <f t="shared" si="122"/>
        <v>0</v>
      </c>
      <c r="BL162" s="163">
        <f t="shared" si="123"/>
        <v>0</v>
      </c>
      <c r="BM162" s="163">
        <f t="shared" si="124"/>
        <v>1</v>
      </c>
      <c r="BN162" s="163" t="s">
        <v>157</v>
      </c>
      <c r="BO162" s="162" t="str">
        <f t="shared" si="129"/>
        <v/>
      </c>
      <c r="BP162" s="162" t="s">
        <v>1403</v>
      </c>
      <c r="BQ162" s="162" t="s">
        <v>1426</v>
      </c>
    </row>
    <row r="163" spans="1:69">
      <c r="A163" s="159">
        <f t="shared" si="113"/>
        <v>47</v>
      </c>
      <c r="B163" s="159">
        <f t="shared" si="114"/>
        <v>2</v>
      </c>
      <c r="C163" s="160" t="str">
        <f t="shared" si="101"/>
        <v>4702</v>
      </c>
      <c r="D163" s="159" t="s">
        <v>69</v>
      </c>
      <c r="E163" s="159">
        <v>2018</v>
      </c>
      <c r="F163" s="162" t="s">
        <v>70</v>
      </c>
      <c r="G163" s="182" t="s">
        <v>421</v>
      </c>
      <c r="H163" s="163" t="str">
        <f t="shared" ref="H163:H197" si="144">VLOOKUP(G163,income,T163-1985,FALSE)</f>
        <v>UM</v>
      </c>
      <c r="I163" s="163" t="s">
        <v>157</v>
      </c>
      <c r="J163" s="180" t="s">
        <v>560</v>
      </c>
      <c r="K163" s="163" t="s">
        <v>183</v>
      </c>
      <c r="L163" s="163" t="s">
        <v>151</v>
      </c>
      <c r="M163" s="163" t="str">
        <f t="shared" si="115"/>
        <v>PCV10 vs NoVax</v>
      </c>
      <c r="N163" s="159" t="s">
        <v>152</v>
      </c>
      <c r="O163" s="159">
        <v>3</v>
      </c>
      <c r="P163" s="162" t="s">
        <v>148</v>
      </c>
      <c r="Q163" s="162" t="s">
        <v>167</v>
      </c>
      <c r="R163" s="162" t="s">
        <v>154</v>
      </c>
      <c r="S163" s="162" t="s">
        <v>155</v>
      </c>
      <c r="T163" s="159">
        <v>2014</v>
      </c>
      <c r="U163" s="165">
        <v>14.12</v>
      </c>
      <c r="V163" s="165">
        <f>IF(ISNUMBER(U163),U163/VLOOKUP($S163,xRates!$A$1:$AA$267,data!$T163-xRates!$B$1+2,FALSE),U163)</f>
        <v>14.12</v>
      </c>
      <c r="W163" s="162" t="s">
        <v>572</v>
      </c>
      <c r="Y163" s="165"/>
      <c r="AA163" s="163" t="s">
        <v>157</v>
      </c>
      <c r="AB163" s="162"/>
      <c r="AC163" s="162" t="str">
        <f t="shared" si="132"/>
        <v/>
      </c>
      <c r="AD163" s="163" t="s">
        <v>157</v>
      </c>
      <c r="AE163" s="162" t="str">
        <f t="shared" si="133"/>
        <v/>
      </c>
      <c r="AF163" s="163" t="s">
        <v>148</v>
      </c>
      <c r="AG163" s="163" t="s">
        <v>148</v>
      </c>
      <c r="AH163" s="163" t="s">
        <v>148</v>
      </c>
      <c r="AJ163" s="162"/>
      <c r="AK163" s="162" t="s">
        <v>574</v>
      </c>
      <c r="AL163" s="163" t="s">
        <v>469</v>
      </c>
      <c r="AM163" s="179">
        <v>1770</v>
      </c>
      <c r="AN163" s="179">
        <f>AM163</f>
        <v>1770</v>
      </c>
      <c r="AO163" s="179">
        <f t="shared" ref="AO163:AO191" si="145">VLOOKUP(G163,gdppc,T163-1958,FALSE)</f>
        <v>8114.3439209999997</v>
      </c>
      <c r="AP163" s="163" t="str">
        <f t="shared" si="128"/>
        <v>Cost-Effective</v>
      </c>
      <c r="AQ163" s="163" t="str">
        <f t="shared" si="102"/>
        <v>Cost-Effective</v>
      </c>
      <c r="AR163" s="167">
        <f t="shared" si="100"/>
        <v>0.21813223807524637</v>
      </c>
      <c r="AS163" s="167">
        <f t="shared" si="134"/>
        <v>1.89</v>
      </c>
      <c r="AT163" s="159" t="str">
        <f t="shared" si="116"/>
        <v>Cost-Effective</v>
      </c>
      <c r="AU163" s="167">
        <f t="shared" si="135"/>
        <v>1.17</v>
      </c>
      <c r="AV163" s="162" t="str">
        <f t="shared" si="117"/>
        <v>Cost-Effective</v>
      </c>
      <c r="AW163" s="167">
        <f t="shared" si="136"/>
        <v>0.67142448878179284</v>
      </c>
      <c r="AX163" s="159" t="str">
        <f t="shared" si="118"/>
        <v>Cost-Effective</v>
      </c>
      <c r="AY163" s="167">
        <f t="shared" si="137"/>
        <v>0.16670017209696561</v>
      </c>
      <c r="AZ163" s="159" t="str">
        <f t="shared" si="119"/>
        <v>Not Cost-Effective</v>
      </c>
      <c r="BA163" s="167">
        <f t="shared" si="138"/>
        <v>1.3237396338136047</v>
      </c>
      <c r="BB163" s="159" t="str">
        <f t="shared" si="120"/>
        <v>Cost-Effective</v>
      </c>
      <c r="BC163" s="167">
        <f t="shared" si="139"/>
        <v>0.54863988350299309</v>
      </c>
      <c r="BD163" s="159" t="str">
        <f t="shared" si="121"/>
        <v>Cost-Effective</v>
      </c>
      <c r="BE163" s="162" t="s">
        <v>210</v>
      </c>
      <c r="BF163" s="162" t="s">
        <v>174</v>
      </c>
      <c r="BG163" s="168">
        <f t="shared" si="140"/>
        <v>0</v>
      </c>
      <c r="BH163" s="168">
        <f t="shared" si="141"/>
        <v>0</v>
      </c>
      <c r="BI163" s="163">
        <f t="shared" si="142"/>
        <v>1</v>
      </c>
      <c r="BJ163" s="163">
        <f t="shared" si="143"/>
        <v>0</v>
      </c>
      <c r="BK163" s="163">
        <f t="shared" si="122"/>
        <v>0</v>
      </c>
      <c r="BL163" s="163">
        <f t="shared" si="123"/>
        <v>0</v>
      </c>
      <c r="BM163" s="163">
        <f t="shared" si="124"/>
        <v>1</v>
      </c>
      <c r="BN163" s="163" t="s">
        <v>157</v>
      </c>
      <c r="BO163" s="162" t="str">
        <f t="shared" si="129"/>
        <v/>
      </c>
      <c r="BP163" s="162" t="s">
        <v>1403</v>
      </c>
      <c r="BQ163" s="162" t="s">
        <v>1426</v>
      </c>
    </row>
    <row r="164" spans="1:69">
      <c r="A164" s="159">
        <f t="shared" si="113"/>
        <v>47</v>
      </c>
      <c r="B164" s="159">
        <f t="shared" si="114"/>
        <v>3</v>
      </c>
      <c r="C164" s="160" t="str">
        <f t="shared" si="101"/>
        <v>4703</v>
      </c>
      <c r="D164" s="159" t="s">
        <v>69</v>
      </c>
      <c r="E164" s="159">
        <v>2018</v>
      </c>
      <c r="F164" s="162" t="s">
        <v>70</v>
      </c>
      <c r="G164" s="182" t="s">
        <v>421</v>
      </c>
      <c r="H164" s="163" t="str">
        <f t="shared" si="144"/>
        <v>UM</v>
      </c>
      <c r="I164" s="163" t="s">
        <v>157</v>
      </c>
      <c r="J164" s="180" t="s">
        <v>575</v>
      </c>
      <c r="K164" s="163" t="s">
        <v>186</v>
      </c>
      <c r="L164" s="163" t="s">
        <v>183</v>
      </c>
      <c r="M164" s="163" t="str">
        <f t="shared" si="115"/>
        <v>PCV13 vs PCV10</v>
      </c>
      <c r="N164" s="159" t="s">
        <v>152</v>
      </c>
      <c r="O164" s="159">
        <v>3</v>
      </c>
      <c r="P164" s="162" t="s">
        <v>148</v>
      </c>
      <c r="Q164" s="162" t="s">
        <v>167</v>
      </c>
      <c r="R164" s="162" t="s">
        <v>154</v>
      </c>
      <c r="S164" s="162" t="s">
        <v>155</v>
      </c>
      <c r="T164" s="159">
        <v>2014</v>
      </c>
      <c r="U164" s="165">
        <v>15.68</v>
      </c>
      <c r="V164" s="165">
        <f>IF(ISNUMBER(U164),U164/VLOOKUP($S164,xRates!$A$1:$AA$267,data!$T164-xRates!$B$1+2,FALSE),U164)</f>
        <v>15.68</v>
      </c>
      <c r="W164" s="162" t="s">
        <v>572</v>
      </c>
      <c r="X164" s="159">
        <v>14.12</v>
      </c>
      <c r="Y164" s="165">
        <v>14.12</v>
      </c>
      <c r="AA164" s="163" t="s">
        <v>157</v>
      </c>
      <c r="AB164" s="162"/>
      <c r="AC164" s="162" t="str">
        <f t="shared" si="132"/>
        <v/>
      </c>
      <c r="AD164" s="163" t="s">
        <v>157</v>
      </c>
      <c r="AE164" s="162" t="str">
        <f t="shared" si="133"/>
        <v/>
      </c>
      <c r="AF164" s="163" t="s">
        <v>148</v>
      </c>
      <c r="AG164" s="163" t="s">
        <v>148</v>
      </c>
      <c r="AH164" s="163" t="s">
        <v>148</v>
      </c>
      <c r="AJ164" s="162"/>
      <c r="AK164" s="162" t="s">
        <v>576</v>
      </c>
      <c r="AL164" s="163" t="s">
        <v>469</v>
      </c>
      <c r="AM164" s="179">
        <v>2217</v>
      </c>
      <c r="AN164" s="179">
        <f>AM164</f>
        <v>2217</v>
      </c>
      <c r="AO164" s="179">
        <f t="shared" si="145"/>
        <v>8114.3439209999997</v>
      </c>
      <c r="AP164" s="163" t="str">
        <f t="shared" si="128"/>
        <v>Cost-Effective</v>
      </c>
      <c r="AQ164" s="163" t="str">
        <f t="shared" si="102"/>
        <v>Cost-Effective</v>
      </c>
      <c r="AR164" s="167">
        <f t="shared" si="100"/>
        <v>0.27321987108068996</v>
      </c>
      <c r="AS164" s="167">
        <f t="shared" si="134"/>
        <v>1.89</v>
      </c>
      <c r="AT164" s="159" t="str">
        <f t="shared" si="116"/>
        <v>Cost-Effective</v>
      </c>
      <c r="AU164" s="167">
        <f t="shared" si="135"/>
        <v>1.17</v>
      </c>
      <c r="AV164" s="162" t="str">
        <f t="shared" si="117"/>
        <v>Cost-Effective</v>
      </c>
      <c r="AW164" s="167">
        <f t="shared" si="136"/>
        <v>0.67142448878179284</v>
      </c>
      <c r="AX164" s="159" t="str">
        <f t="shared" si="118"/>
        <v>Cost-Effective</v>
      </c>
      <c r="AY164" s="167">
        <f t="shared" si="137"/>
        <v>0.16670017209696561</v>
      </c>
      <c r="AZ164" s="159" t="str">
        <f t="shared" si="119"/>
        <v>Not Cost-Effective</v>
      </c>
      <c r="BA164" s="167">
        <f t="shared" si="138"/>
        <v>1.3237396338136047</v>
      </c>
      <c r="BB164" s="159" t="str">
        <f t="shared" si="120"/>
        <v>Cost-Effective</v>
      </c>
      <c r="BC164" s="167">
        <f t="shared" si="139"/>
        <v>0.54863988350299309</v>
      </c>
      <c r="BD164" s="159" t="str">
        <f t="shared" si="121"/>
        <v>Cost-Effective</v>
      </c>
      <c r="BE164" s="162" t="s">
        <v>210</v>
      </c>
      <c r="BF164" s="162" t="s">
        <v>174</v>
      </c>
      <c r="BG164" s="168">
        <f t="shared" si="140"/>
        <v>0</v>
      </c>
      <c r="BH164" s="168">
        <f t="shared" si="141"/>
        <v>0</v>
      </c>
      <c r="BI164" s="163">
        <f t="shared" si="142"/>
        <v>1</v>
      </c>
      <c r="BJ164" s="163">
        <f t="shared" si="143"/>
        <v>0</v>
      </c>
      <c r="BK164" s="163">
        <f t="shared" si="122"/>
        <v>0</v>
      </c>
      <c r="BL164" s="163">
        <f t="shared" si="123"/>
        <v>0</v>
      </c>
      <c r="BM164" s="163">
        <f t="shared" si="124"/>
        <v>1</v>
      </c>
      <c r="BN164" s="163" t="s">
        <v>157</v>
      </c>
      <c r="BO164" s="162" t="str">
        <f t="shared" si="129"/>
        <v/>
      </c>
      <c r="BP164" s="162" t="s">
        <v>1403</v>
      </c>
      <c r="BQ164" s="162" t="s">
        <v>1426</v>
      </c>
    </row>
    <row r="165" spans="1:69">
      <c r="A165" s="159">
        <f t="shared" si="113"/>
        <v>48</v>
      </c>
      <c r="B165" s="159">
        <f t="shared" si="114"/>
        <v>1</v>
      </c>
      <c r="C165" s="160" t="str">
        <f t="shared" si="101"/>
        <v>4801</v>
      </c>
      <c r="D165" s="159" t="s">
        <v>71</v>
      </c>
      <c r="E165" s="161">
        <v>2019</v>
      </c>
      <c r="F165" s="162" t="s">
        <v>72</v>
      </c>
      <c r="G165" s="162" t="s">
        <v>455</v>
      </c>
      <c r="H165" s="163" t="str">
        <f t="shared" si="144"/>
        <v>UM</v>
      </c>
      <c r="I165" s="163" t="s">
        <v>157</v>
      </c>
      <c r="J165" s="162" t="s">
        <v>577</v>
      </c>
      <c r="K165" s="163" t="s">
        <v>186</v>
      </c>
      <c r="L165" s="163" t="s">
        <v>183</v>
      </c>
      <c r="M165" s="163" t="str">
        <f t="shared" si="115"/>
        <v>PCV13 vs PCV10</v>
      </c>
      <c r="N165" s="159" t="s">
        <v>166</v>
      </c>
      <c r="O165" s="159">
        <v>4</v>
      </c>
      <c r="P165" s="162" t="s">
        <v>148</v>
      </c>
      <c r="Q165" s="164" t="s">
        <v>167</v>
      </c>
      <c r="R165" s="162" t="s">
        <v>578</v>
      </c>
      <c r="S165" s="162" t="s">
        <v>579</v>
      </c>
      <c r="T165" s="161">
        <v>2016</v>
      </c>
      <c r="U165" s="165">
        <v>23.78</v>
      </c>
      <c r="V165" s="165">
        <f>IF(ISNUMBER(U165),U165/VLOOKUP($S165,xRates!$A$1:$AA$267,data!$T165-xRates!$B$1+2,FALSE),U165)</f>
        <v>26.32215602334637</v>
      </c>
      <c r="W165" s="162" t="s">
        <v>580</v>
      </c>
      <c r="Y165" s="165"/>
      <c r="AA165" s="163" t="s">
        <v>157</v>
      </c>
      <c r="AB165" s="162"/>
      <c r="AC165" s="162" t="str">
        <f t="shared" si="132"/>
        <v/>
      </c>
      <c r="AD165" s="163" t="s">
        <v>157</v>
      </c>
      <c r="AE165" s="162" t="str">
        <f t="shared" si="133"/>
        <v/>
      </c>
      <c r="AF165" s="163" t="s">
        <v>148</v>
      </c>
      <c r="AG165" s="163" t="s">
        <v>148</v>
      </c>
      <c r="AH165" s="163" t="s">
        <v>148</v>
      </c>
      <c r="AJ165" s="162" t="s">
        <v>581</v>
      </c>
      <c r="AK165" s="162" t="s">
        <v>582</v>
      </c>
      <c r="AL165" s="163" t="s">
        <v>159</v>
      </c>
      <c r="AM165" s="177">
        <v>999999</v>
      </c>
      <c r="AN165" s="177">
        <v>999999</v>
      </c>
      <c r="AO165" s="166">
        <f t="shared" si="145"/>
        <v>10894.60338</v>
      </c>
      <c r="AP165" s="163" t="str">
        <f t="shared" si="128"/>
        <v>Not Cost-Effective</v>
      </c>
      <c r="AQ165" s="163" t="str">
        <f t="shared" si="102"/>
        <v>Not Cost-Effective</v>
      </c>
      <c r="AR165" s="167">
        <f t="shared" si="100"/>
        <v>91.788472248174671</v>
      </c>
      <c r="AS165" s="167">
        <f t="shared" si="134"/>
        <v>1.43</v>
      </c>
      <c r="AT165" s="159" t="str">
        <f t="shared" si="116"/>
        <v>Not Cost-Effective</v>
      </c>
      <c r="AU165" s="167">
        <f t="shared" si="135"/>
        <v>0.82</v>
      </c>
      <c r="AV165" s="162" t="str">
        <f t="shared" si="117"/>
        <v>Not Cost-Effective</v>
      </c>
      <c r="AW165" s="167">
        <f t="shared" si="136"/>
        <v>0.54388575340378054</v>
      </c>
      <c r="AX165" s="159" t="str">
        <f t="shared" si="118"/>
        <v>Not Cost-Effective</v>
      </c>
      <c r="AY165" s="167">
        <f t="shared" si="137"/>
        <v>0.2338526413848058</v>
      </c>
      <c r="AZ165" s="159" t="str">
        <f t="shared" si="119"/>
        <v>Not Cost-Effective</v>
      </c>
      <c r="BA165" s="167">
        <f t="shared" si="138"/>
        <v>0.76018072360236422</v>
      </c>
      <c r="BB165" s="159" t="str">
        <f t="shared" si="120"/>
        <v>Not Cost-Effective</v>
      </c>
      <c r="BC165" s="167">
        <f t="shared" si="139"/>
        <v>0.31507923271318067</v>
      </c>
      <c r="BD165" s="159" t="str">
        <f t="shared" si="121"/>
        <v>Not Cost-Effective</v>
      </c>
      <c r="BE165" s="162" t="s">
        <v>210</v>
      </c>
      <c r="BF165" s="162" t="s">
        <v>161</v>
      </c>
      <c r="BG165" s="168" t="str">
        <f t="shared" si="140"/>
        <v>.</v>
      </c>
      <c r="BH165" s="168" t="str">
        <f t="shared" si="141"/>
        <v>.</v>
      </c>
      <c r="BI165" s="163" t="str">
        <f t="shared" si="142"/>
        <v>.</v>
      </c>
      <c r="BJ165" s="163" t="str">
        <f t="shared" si="143"/>
        <v>.</v>
      </c>
      <c r="BK165" s="163" t="str">
        <f t="shared" si="122"/>
        <v>.</v>
      </c>
      <c r="BL165" s="163" t="str">
        <f t="shared" si="123"/>
        <v>.</v>
      </c>
      <c r="BM165" s="163">
        <f t="shared" si="124"/>
        <v>0</v>
      </c>
      <c r="BN165" s="163" t="s">
        <v>157</v>
      </c>
      <c r="BO165" s="162" t="str">
        <f t="shared" si="129"/>
        <v/>
      </c>
      <c r="BP165" s="162" t="s">
        <v>272</v>
      </c>
      <c r="BQ165" s="162" t="s">
        <v>1425</v>
      </c>
    </row>
    <row r="166" spans="1:69">
      <c r="A166" s="159">
        <f t="shared" si="113"/>
        <v>49</v>
      </c>
      <c r="B166" s="159">
        <f t="shared" si="114"/>
        <v>1</v>
      </c>
      <c r="C166" s="160" t="str">
        <f t="shared" si="101"/>
        <v>4901</v>
      </c>
      <c r="D166" s="159" t="s">
        <v>73</v>
      </c>
      <c r="E166" s="159">
        <v>2019</v>
      </c>
      <c r="F166" s="162" t="s">
        <v>74</v>
      </c>
      <c r="G166" s="182" t="s">
        <v>583</v>
      </c>
      <c r="H166" s="163" t="str">
        <f t="shared" si="144"/>
        <v>LM</v>
      </c>
      <c r="I166" s="163" t="s">
        <v>157</v>
      </c>
      <c r="J166" s="180" t="s">
        <v>564</v>
      </c>
      <c r="K166" s="163" t="s">
        <v>186</v>
      </c>
      <c r="L166" s="163" t="s">
        <v>151</v>
      </c>
      <c r="M166" s="163" t="str">
        <f t="shared" si="115"/>
        <v>PCV13 vs NoVax</v>
      </c>
      <c r="N166" s="159" t="s">
        <v>152</v>
      </c>
      <c r="O166" s="159">
        <v>3</v>
      </c>
      <c r="P166" s="162" t="s">
        <v>148</v>
      </c>
      <c r="Q166" s="162" t="s">
        <v>167</v>
      </c>
      <c r="R166" s="162" t="s">
        <v>154</v>
      </c>
      <c r="S166" s="162" t="s">
        <v>155</v>
      </c>
      <c r="T166" s="159">
        <v>2017</v>
      </c>
      <c r="U166" s="165">
        <v>15.7</v>
      </c>
      <c r="V166" s="165">
        <f>IF(ISNUMBER(U166),U166/VLOOKUP($S166,xRates!$A$1:$AA$267,data!$T166-xRates!$B$1+2,FALSE),U166)</f>
        <v>15.7</v>
      </c>
      <c r="W166" s="162" t="s">
        <v>177</v>
      </c>
      <c r="Y166" s="165"/>
      <c r="AA166" s="163" t="s">
        <v>157</v>
      </c>
      <c r="AB166" s="162"/>
      <c r="AC166" s="162" t="str">
        <f t="shared" si="132"/>
        <v/>
      </c>
      <c r="AD166" s="163" t="s">
        <v>157</v>
      </c>
      <c r="AE166" s="162" t="str">
        <f t="shared" si="133"/>
        <v/>
      </c>
      <c r="AF166" s="163" t="s">
        <v>148</v>
      </c>
      <c r="AG166" s="163" t="s">
        <v>148</v>
      </c>
      <c r="AH166" s="163" t="s">
        <v>148</v>
      </c>
      <c r="AJ166" s="162"/>
      <c r="AK166" s="162" t="s">
        <v>584</v>
      </c>
      <c r="AL166" s="163" t="s">
        <v>159</v>
      </c>
      <c r="AM166" s="179">
        <v>848</v>
      </c>
      <c r="AN166" s="179">
        <f>AM166</f>
        <v>848</v>
      </c>
      <c r="AO166" s="179">
        <f t="shared" si="145"/>
        <v>3687.7774610000001</v>
      </c>
      <c r="AP166" s="163" t="str">
        <f t="shared" si="128"/>
        <v>Cost-Effective</v>
      </c>
      <c r="AQ166" s="163" t="str">
        <f t="shared" si="102"/>
        <v>Cost-Effective</v>
      </c>
      <c r="AR166" s="167">
        <f t="shared" si="100"/>
        <v>0.22994879950539401</v>
      </c>
      <c r="AS166" s="167">
        <f t="shared" si="134"/>
        <v>1.22</v>
      </c>
      <c r="AT166" s="159" t="str">
        <f t="shared" si="116"/>
        <v>Cost-Effective</v>
      </c>
      <c r="AU166" s="167">
        <f t="shared" si="135"/>
        <v>0.71</v>
      </c>
      <c r="AV166" s="162" t="str">
        <f t="shared" si="117"/>
        <v>Cost-Effective</v>
      </c>
      <c r="AW166" s="167">
        <f t="shared" si="136"/>
        <v>0.58315118145938971</v>
      </c>
      <c r="AX166" s="159" t="str">
        <f t="shared" si="118"/>
        <v>Cost-Effective</v>
      </c>
      <c r="AY166" s="167">
        <f t="shared" si="137"/>
        <v>0.15253723033544223</v>
      </c>
      <c r="AZ166" s="159" t="str">
        <f t="shared" si="119"/>
        <v>Not Cost-Effective</v>
      </c>
      <c r="BA166" s="167">
        <f t="shared" si="138"/>
        <v>0.69097596114661086</v>
      </c>
      <c r="BB166" s="159" t="str">
        <f t="shared" si="120"/>
        <v>Cost-Effective</v>
      </c>
      <c r="BC166" s="167">
        <f t="shared" si="139"/>
        <v>0.27806886857478996</v>
      </c>
      <c r="BD166" s="159" t="str">
        <f t="shared" si="121"/>
        <v>Cost-Effective</v>
      </c>
      <c r="BE166" s="162" t="s">
        <v>160</v>
      </c>
      <c r="BF166" s="162" t="s">
        <v>174</v>
      </c>
      <c r="BG166" s="168">
        <f t="shared" si="140"/>
        <v>0</v>
      </c>
      <c r="BH166" s="168">
        <f t="shared" si="141"/>
        <v>0</v>
      </c>
      <c r="BI166" s="163">
        <f t="shared" si="142"/>
        <v>1</v>
      </c>
      <c r="BJ166" s="163">
        <f t="shared" si="143"/>
        <v>0</v>
      </c>
      <c r="BK166" s="163">
        <f t="shared" si="122"/>
        <v>0</v>
      </c>
      <c r="BL166" s="163">
        <f t="shared" si="123"/>
        <v>0</v>
      </c>
      <c r="BM166" s="163">
        <f t="shared" si="124"/>
        <v>1</v>
      </c>
      <c r="BN166" s="163" t="s">
        <v>157</v>
      </c>
      <c r="BO166" s="162" t="str">
        <f t="shared" si="129"/>
        <v/>
      </c>
      <c r="BP166" s="162" t="s">
        <v>279</v>
      </c>
      <c r="BQ166" s="162" t="s">
        <v>1425</v>
      </c>
    </row>
    <row r="167" spans="1:69">
      <c r="A167" s="159">
        <f t="shared" si="113"/>
        <v>49</v>
      </c>
      <c r="B167" s="159">
        <f t="shared" si="114"/>
        <v>2</v>
      </c>
      <c r="C167" s="160" t="str">
        <f t="shared" si="101"/>
        <v>4902</v>
      </c>
      <c r="D167" s="159" t="s">
        <v>73</v>
      </c>
      <c r="E167" s="159">
        <v>2019</v>
      </c>
      <c r="F167" s="162" t="s">
        <v>74</v>
      </c>
      <c r="G167" s="182" t="s">
        <v>583</v>
      </c>
      <c r="H167" s="163" t="str">
        <f t="shared" si="144"/>
        <v>LM</v>
      </c>
      <c r="I167" s="163" t="s">
        <v>157</v>
      </c>
      <c r="J167" s="180" t="s">
        <v>560</v>
      </c>
      <c r="K167" s="163" t="s">
        <v>183</v>
      </c>
      <c r="L167" s="163" t="s">
        <v>151</v>
      </c>
      <c r="M167" s="163" t="str">
        <f t="shared" si="115"/>
        <v>PCV10 vs NoVax</v>
      </c>
      <c r="N167" s="159" t="s">
        <v>152</v>
      </c>
      <c r="O167" s="159">
        <v>3</v>
      </c>
      <c r="P167" s="162" t="s">
        <v>148</v>
      </c>
      <c r="Q167" s="162" t="s">
        <v>167</v>
      </c>
      <c r="R167" s="162" t="s">
        <v>154</v>
      </c>
      <c r="S167" s="162" t="s">
        <v>155</v>
      </c>
      <c r="T167" s="159">
        <v>2017</v>
      </c>
      <c r="U167" s="165">
        <v>15.7</v>
      </c>
      <c r="V167" s="165">
        <f>IF(ISNUMBER(U167),U167/VLOOKUP($S167,xRates!$A$1:$AA$267,data!$T167-xRates!$B$1+2,FALSE),U167)</f>
        <v>15.7</v>
      </c>
      <c r="W167" s="162" t="s">
        <v>177</v>
      </c>
      <c r="Y167" s="165"/>
      <c r="AA167" s="163" t="s">
        <v>157</v>
      </c>
      <c r="AB167" s="162"/>
      <c r="AC167" s="162" t="str">
        <f t="shared" si="132"/>
        <v/>
      </c>
      <c r="AD167" s="163" t="s">
        <v>157</v>
      </c>
      <c r="AE167" s="162" t="str">
        <f t="shared" si="133"/>
        <v/>
      </c>
      <c r="AF167" s="163" t="s">
        <v>148</v>
      </c>
      <c r="AG167" s="163" t="s">
        <v>148</v>
      </c>
      <c r="AH167" s="163" t="s">
        <v>148</v>
      </c>
      <c r="AJ167" s="162"/>
      <c r="AK167" s="162" t="s">
        <v>585</v>
      </c>
      <c r="AL167" s="163" t="s">
        <v>159</v>
      </c>
      <c r="AM167" s="179">
        <v>1366</v>
      </c>
      <c r="AN167" s="179">
        <f>AM167</f>
        <v>1366</v>
      </c>
      <c r="AO167" s="179">
        <f t="shared" si="145"/>
        <v>3687.7774610000001</v>
      </c>
      <c r="AP167" s="163" t="str">
        <f t="shared" si="128"/>
        <v>Cost-Effective</v>
      </c>
      <c r="AQ167" s="163" t="str">
        <f t="shared" si="102"/>
        <v>Cost-Effective</v>
      </c>
      <c r="AR167" s="167">
        <f t="shared" si="100"/>
        <v>0.3704128067504342</v>
      </c>
      <c r="AS167" s="167">
        <f t="shared" si="134"/>
        <v>1.22</v>
      </c>
      <c r="AT167" s="159" t="str">
        <f t="shared" si="116"/>
        <v>Cost-Effective</v>
      </c>
      <c r="AU167" s="167">
        <f t="shared" si="135"/>
        <v>0.71</v>
      </c>
      <c r="AV167" s="162" t="str">
        <f t="shared" si="117"/>
        <v>Cost-Effective</v>
      </c>
      <c r="AW167" s="167">
        <f t="shared" si="136"/>
        <v>0.58315118145938971</v>
      </c>
      <c r="AX167" s="159" t="str">
        <f t="shared" si="118"/>
        <v>Cost-Effective</v>
      </c>
      <c r="AY167" s="167">
        <f t="shared" si="137"/>
        <v>0.15253723033544223</v>
      </c>
      <c r="AZ167" s="159" t="str">
        <f t="shared" si="119"/>
        <v>Not Cost-Effective</v>
      </c>
      <c r="BA167" s="167">
        <f t="shared" si="138"/>
        <v>0.69097596114661086</v>
      </c>
      <c r="BB167" s="159" t="str">
        <f t="shared" si="120"/>
        <v>Cost-Effective</v>
      </c>
      <c r="BC167" s="167">
        <f t="shared" si="139"/>
        <v>0.27806886857478996</v>
      </c>
      <c r="BD167" s="159" t="str">
        <f t="shared" si="121"/>
        <v>Not Cost-Effective</v>
      </c>
      <c r="BE167" s="162" t="s">
        <v>160</v>
      </c>
      <c r="BF167" s="162" t="s">
        <v>174</v>
      </c>
      <c r="BG167" s="168">
        <f t="shared" si="140"/>
        <v>0</v>
      </c>
      <c r="BH167" s="168">
        <f t="shared" si="141"/>
        <v>0</v>
      </c>
      <c r="BI167" s="163">
        <f t="shared" si="142"/>
        <v>1</v>
      </c>
      <c r="BJ167" s="163">
        <f t="shared" si="143"/>
        <v>0</v>
      </c>
      <c r="BK167" s="163">
        <f t="shared" si="122"/>
        <v>1</v>
      </c>
      <c r="BL167" s="163">
        <f t="shared" si="123"/>
        <v>0</v>
      </c>
      <c r="BM167" s="163">
        <f t="shared" si="124"/>
        <v>2</v>
      </c>
      <c r="BN167" s="163" t="s">
        <v>157</v>
      </c>
      <c r="BO167" s="162" t="str">
        <f t="shared" si="129"/>
        <v/>
      </c>
      <c r="BP167" s="162" t="s">
        <v>279</v>
      </c>
      <c r="BQ167" s="162" t="s">
        <v>1425</v>
      </c>
    </row>
    <row r="168" spans="1:69">
      <c r="A168" s="159">
        <f t="shared" si="113"/>
        <v>49</v>
      </c>
      <c r="B168" s="159">
        <f t="shared" si="114"/>
        <v>3</v>
      </c>
      <c r="C168" s="160" t="str">
        <f t="shared" si="101"/>
        <v>4903</v>
      </c>
      <c r="D168" s="159" t="s">
        <v>73</v>
      </c>
      <c r="E168" s="159">
        <v>2019</v>
      </c>
      <c r="F168" s="162" t="s">
        <v>74</v>
      </c>
      <c r="G168" s="182" t="s">
        <v>586</v>
      </c>
      <c r="H168" s="163" t="str">
        <f t="shared" si="144"/>
        <v>UM</v>
      </c>
      <c r="I168" s="163" t="s">
        <v>157</v>
      </c>
      <c r="J168" s="180" t="s">
        <v>564</v>
      </c>
      <c r="K168" s="163" t="s">
        <v>186</v>
      </c>
      <c r="L168" s="163" t="s">
        <v>151</v>
      </c>
      <c r="M168" s="163" t="str">
        <f t="shared" si="115"/>
        <v>PCV13 vs NoVax</v>
      </c>
      <c r="N168" s="159" t="s">
        <v>152</v>
      </c>
      <c r="O168" s="159">
        <v>3</v>
      </c>
      <c r="P168" s="162" t="s">
        <v>148</v>
      </c>
      <c r="Q168" s="162" t="s">
        <v>167</v>
      </c>
      <c r="R168" s="162" t="s">
        <v>154</v>
      </c>
      <c r="S168" s="162" t="s">
        <v>155</v>
      </c>
      <c r="T168" s="159">
        <v>2017</v>
      </c>
      <c r="U168" s="165">
        <v>15.7</v>
      </c>
      <c r="V168" s="165">
        <f>IF(ISNUMBER(U168),U168/VLOOKUP($S168,xRates!$A$1:$AA$267,data!$T168-xRates!$B$1+2,FALSE),U168)</f>
        <v>15.7</v>
      </c>
      <c r="W168" s="162" t="s">
        <v>177</v>
      </c>
      <c r="Y168" s="165"/>
      <c r="AA168" s="163" t="s">
        <v>157</v>
      </c>
      <c r="AB168" s="162"/>
      <c r="AC168" s="162" t="str">
        <f t="shared" si="132"/>
        <v/>
      </c>
      <c r="AD168" s="163" t="s">
        <v>157</v>
      </c>
      <c r="AE168" s="162" t="str">
        <f t="shared" si="133"/>
        <v/>
      </c>
      <c r="AF168" s="163" t="s">
        <v>148</v>
      </c>
      <c r="AG168" s="163" t="s">
        <v>148</v>
      </c>
      <c r="AH168" s="163" t="s">
        <v>148</v>
      </c>
      <c r="AJ168" s="162"/>
      <c r="AK168" s="162" t="s">
        <v>587</v>
      </c>
      <c r="AL168" s="163" t="s">
        <v>159</v>
      </c>
      <c r="AM168" s="179">
        <v>308</v>
      </c>
      <c r="AN168" s="179">
        <f>AM168</f>
        <v>308</v>
      </c>
      <c r="AO168" s="179">
        <f t="shared" si="145"/>
        <v>4109.6982170000001</v>
      </c>
      <c r="AP168" s="163" t="str">
        <f t="shared" si="128"/>
        <v>Cost-Effective</v>
      </c>
      <c r="AQ168" s="163" t="str">
        <f t="shared" si="102"/>
        <v>Cost-Effective</v>
      </c>
      <c r="AR168" s="167">
        <f t="shared" si="100"/>
        <v>7.4944675676170219E-2</v>
      </c>
      <c r="AS168" s="167">
        <f t="shared" si="134"/>
        <v>1.54</v>
      </c>
      <c r="AT168" s="159" t="str">
        <f t="shared" si="116"/>
        <v>Cost-Effective</v>
      </c>
      <c r="AU168" s="167">
        <f t="shared" si="135"/>
        <v>0.97</v>
      </c>
      <c r="AV168" s="162" t="str">
        <f t="shared" si="117"/>
        <v>Cost-Effective</v>
      </c>
      <c r="AW168" s="167">
        <f t="shared" si="136"/>
        <v>0.68059652019074324</v>
      </c>
      <c r="AX168" s="159" t="str">
        <f t="shared" si="118"/>
        <v>Cost-Effective</v>
      </c>
      <c r="AY168" s="167">
        <f t="shared" si="137"/>
        <v>0.18401380668795944</v>
      </c>
      <c r="AZ168" s="159" t="str">
        <f t="shared" si="119"/>
        <v>Cost-Effective</v>
      </c>
      <c r="BA168" s="167">
        <f t="shared" si="138"/>
        <v>0.66747403938803063</v>
      </c>
      <c r="BB168" s="159" t="str">
        <f t="shared" si="120"/>
        <v>Cost-Effective</v>
      </c>
      <c r="BC168" s="167">
        <f t="shared" si="139"/>
        <v>0.26869401810888804</v>
      </c>
      <c r="BD168" s="159" t="str">
        <f t="shared" si="121"/>
        <v>Cost-Effective</v>
      </c>
      <c r="BE168" s="162" t="s">
        <v>160</v>
      </c>
      <c r="BF168" s="162" t="s">
        <v>174</v>
      </c>
      <c r="BG168" s="168">
        <f t="shared" si="140"/>
        <v>0</v>
      </c>
      <c r="BH168" s="168">
        <f t="shared" si="141"/>
        <v>0</v>
      </c>
      <c r="BI168" s="163">
        <f t="shared" si="142"/>
        <v>0</v>
      </c>
      <c r="BJ168" s="163">
        <f t="shared" si="143"/>
        <v>0</v>
      </c>
      <c r="BK168" s="163">
        <f t="shared" si="122"/>
        <v>0</v>
      </c>
      <c r="BL168" s="163">
        <f t="shared" si="123"/>
        <v>0</v>
      </c>
      <c r="BM168" s="163">
        <f t="shared" si="124"/>
        <v>0</v>
      </c>
      <c r="BN168" s="163" t="s">
        <v>157</v>
      </c>
      <c r="BO168" s="162" t="str">
        <f t="shared" si="129"/>
        <v/>
      </c>
      <c r="BP168" s="162" t="s">
        <v>279</v>
      </c>
      <c r="BQ168" s="162" t="s">
        <v>1425</v>
      </c>
    </row>
    <row r="169" spans="1:69">
      <c r="A169" s="159">
        <f t="shared" si="113"/>
        <v>49</v>
      </c>
      <c r="B169" s="159">
        <f t="shared" si="114"/>
        <v>4</v>
      </c>
      <c r="C169" s="160" t="str">
        <f t="shared" si="101"/>
        <v>4904</v>
      </c>
      <c r="D169" s="159" t="s">
        <v>73</v>
      </c>
      <c r="E169" s="159">
        <v>2019</v>
      </c>
      <c r="F169" s="162" t="s">
        <v>74</v>
      </c>
      <c r="G169" s="182" t="s">
        <v>586</v>
      </c>
      <c r="H169" s="163" t="str">
        <f t="shared" si="144"/>
        <v>UM</v>
      </c>
      <c r="I169" s="163" t="s">
        <v>157</v>
      </c>
      <c r="J169" s="180" t="s">
        <v>560</v>
      </c>
      <c r="K169" s="163" t="s">
        <v>183</v>
      </c>
      <c r="L169" s="163" t="s">
        <v>151</v>
      </c>
      <c r="M169" s="163" t="str">
        <f t="shared" si="115"/>
        <v>PCV10 vs NoVax</v>
      </c>
      <c r="N169" s="159" t="s">
        <v>152</v>
      </c>
      <c r="O169" s="159">
        <v>3</v>
      </c>
      <c r="P169" s="162" t="s">
        <v>148</v>
      </c>
      <c r="Q169" s="162" t="s">
        <v>167</v>
      </c>
      <c r="R169" s="162" t="s">
        <v>154</v>
      </c>
      <c r="S169" s="162" t="s">
        <v>155</v>
      </c>
      <c r="T169" s="159">
        <v>2017</v>
      </c>
      <c r="U169" s="165">
        <v>15.7</v>
      </c>
      <c r="V169" s="165">
        <f>IF(ISNUMBER(U169),U169/VLOOKUP($S169,xRates!$A$1:$AA$267,data!$T169-xRates!$B$1+2,FALSE),U169)</f>
        <v>15.7</v>
      </c>
      <c r="W169" s="162" t="s">
        <v>177</v>
      </c>
      <c r="Y169" s="165"/>
      <c r="AA169" s="163" t="s">
        <v>157</v>
      </c>
      <c r="AB169" s="162"/>
      <c r="AC169" s="162" t="str">
        <f t="shared" si="132"/>
        <v/>
      </c>
      <c r="AD169" s="163" t="s">
        <v>157</v>
      </c>
      <c r="AE169" s="162" t="str">
        <f t="shared" si="133"/>
        <v/>
      </c>
      <c r="AF169" s="163" t="s">
        <v>148</v>
      </c>
      <c r="AG169" s="163" t="s">
        <v>148</v>
      </c>
      <c r="AH169" s="163" t="s">
        <v>148</v>
      </c>
      <c r="AJ169" s="162"/>
      <c r="AK169" s="162" t="s">
        <v>588</v>
      </c>
      <c r="AL169" s="163" t="s">
        <v>159</v>
      </c>
      <c r="AM169" s="179">
        <v>731</v>
      </c>
      <c r="AN169" s="179">
        <f>AM169</f>
        <v>731</v>
      </c>
      <c r="AO169" s="179">
        <f t="shared" si="145"/>
        <v>4109.6982170000001</v>
      </c>
      <c r="AP169" s="163" t="str">
        <f t="shared" si="128"/>
        <v>Cost-Effective</v>
      </c>
      <c r="AQ169" s="163" t="str">
        <f t="shared" si="102"/>
        <v>Cost-Effective</v>
      </c>
      <c r="AR169" s="167">
        <f t="shared" si="100"/>
        <v>0.17787194129636502</v>
      </c>
      <c r="AS169" s="167">
        <f t="shared" si="134"/>
        <v>1.54</v>
      </c>
      <c r="AT169" s="159" t="str">
        <f t="shared" si="116"/>
        <v>Cost-Effective</v>
      </c>
      <c r="AU169" s="167">
        <f t="shared" si="135"/>
        <v>0.97</v>
      </c>
      <c r="AV169" s="162" t="str">
        <f t="shared" si="117"/>
        <v>Cost-Effective</v>
      </c>
      <c r="AW169" s="167">
        <f t="shared" si="136"/>
        <v>0.68059652019074324</v>
      </c>
      <c r="AX169" s="159" t="str">
        <f t="shared" si="118"/>
        <v>Cost-Effective</v>
      </c>
      <c r="AY169" s="167">
        <f t="shared" si="137"/>
        <v>0.18401380668795944</v>
      </c>
      <c r="AZ169" s="159" t="str">
        <f t="shared" si="119"/>
        <v>Cost-Effective</v>
      </c>
      <c r="BA169" s="167">
        <f t="shared" si="138"/>
        <v>0.66747403938803063</v>
      </c>
      <c r="BB169" s="159" t="str">
        <f t="shared" si="120"/>
        <v>Cost-Effective</v>
      </c>
      <c r="BC169" s="167">
        <f t="shared" si="139"/>
        <v>0.26869401810888804</v>
      </c>
      <c r="BD169" s="159" t="str">
        <f t="shared" si="121"/>
        <v>Cost-Effective</v>
      </c>
      <c r="BE169" s="162" t="s">
        <v>160</v>
      </c>
      <c r="BF169" s="162" t="s">
        <v>174</v>
      </c>
      <c r="BG169" s="168">
        <f t="shared" si="140"/>
        <v>0</v>
      </c>
      <c r="BH169" s="168">
        <f t="shared" si="141"/>
        <v>0</v>
      </c>
      <c r="BI169" s="163">
        <f t="shared" si="142"/>
        <v>0</v>
      </c>
      <c r="BJ169" s="163">
        <f t="shared" si="143"/>
        <v>0</v>
      </c>
      <c r="BK169" s="163">
        <f t="shared" si="122"/>
        <v>0</v>
      </c>
      <c r="BL169" s="163">
        <f t="shared" si="123"/>
        <v>0</v>
      </c>
      <c r="BM169" s="163">
        <f t="shared" si="124"/>
        <v>0</v>
      </c>
      <c r="BN169" s="163" t="s">
        <v>157</v>
      </c>
      <c r="BO169" s="162" t="str">
        <f t="shared" si="129"/>
        <v/>
      </c>
      <c r="BP169" s="162" t="s">
        <v>279</v>
      </c>
      <c r="BQ169" s="162" t="s">
        <v>1425</v>
      </c>
    </row>
    <row r="170" spans="1:69">
      <c r="A170" s="159">
        <f t="shared" si="113"/>
        <v>50</v>
      </c>
      <c r="B170" s="159">
        <f t="shared" si="114"/>
        <v>1</v>
      </c>
      <c r="C170" s="160" t="str">
        <f t="shared" si="101"/>
        <v>5001</v>
      </c>
      <c r="D170" s="159" t="s">
        <v>73</v>
      </c>
      <c r="E170" s="159">
        <v>2020</v>
      </c>
      <c r="F170" s="162" t="s">
        <v>75</v>
      </c>
      <c r="G170" s="182" t="s">
        <v>421</v>
      </c>
      <c r="H170" s="163" t="str">
        <f t="shared" si="144"/>
        <v>UM</v>
      </c>
      <c r="I170" s="163" t="s">
        <v>157</v>
      </c>
      <c r="J170" s="180" t="s">
        <v>575</v>
      </c>
      <c r="K170" s="163" t="s">
        <v>186</v>
      </c>
      <c r="L170" s="163" t="s">
        <v>183</v>
      </c>
      <c r="M170" s="163" t="str">
        <f t="shared" si="115"/>
        <v>PCV13 vs PCV10</v>
      </c>
      <c r="N170" s="159" t="s">
        <v>152</v>
      </c>
      <c r="O170" s="159">
        <v>3</v>
      </c>
      <c r="P170" s="162" t="s">
        <v>148</v>
      </c>
      <c r="Q170" s="162" t="s">
        <v>167</v>
      </c>
      <c r="R170" s="162" t="s">
        <v>154</v>
      </c>
      <c r="S170" s="162" t="s">
        <v>155</v>
      </c>
      <c r="T170" s="159">
        <v>2016</v>
      </c>
      <c r="U170" s="165">
        <v>14.75</v>
      </c>
      <c r="V170" s="165">
        <f>IF(ISNUMBER(U170),U170/VLOOKUP($S170,xRates!$A$1:$AA$267,data!$T170-xRates!$B$1+2,FALSE),U170)</f>
        <v>14.75</v>
      </c>
      <c r="W170" s="162" t="s">
        <v>332</v>
      </c>
      <c r="X170" s="159">
        <v>12.85</v>
      </c>
      <c r="Y170" s="165">
        <v>12.85</v>
      </c>
      <c r="Z170" s="162" t="s">
        <v>332</v>
      </c>
      <c r="AA170" s="163" t="s">
        <v>148</v>
      </c>
      <c r="AB170" s="162" t="s">
        <v>217</v>
      </c>
      <c r="AC170" s="162" t="s">
        <v>178</v>
      </c>
      <c r="AD170" s="163" t="s">
        <v>157</v>
      </c>
      <c r="AE170" s="162" t="s">
        <v>589</v>
      </c>
      <c r="AF170" s="163" t="s">
        <v>148</v>
      </c>
      <c r="AG170" s="163" t="s">
        <v>148</v>
      </c>
      <c r="AH170" s="163" t="s">
        <v>148</v>
      </c>
      <c r="AJ170" s="162" t="s">
        <v>589</v>
      </c>
      <c r="AK170" s="183" t="s">
        <v>590</v>
      </c>
      <c r="AL170" s="163" t="s">
        <v>159</v>
      </c>
      <c r="AM170" s="179">
        <f>-59836109/6406</f>
        <v>-9340.6351857633472</v>
      </c>
      <c r="AN170" s="179">
        <f>AM170</f>
        <v>-9340.6351857633472</v>
      </c>
      <c r="AO170" s="179">
        <f t="shared" si="145"/>
        <v>5870.7779570000002</v>
      </c>
      <c r="AP170" s="163" t="str">
        <f t="shared" si="128"/>
        <v>Cost-Saving</v>
      </c>
      <c r="AQ170" s="163" t="str">
        <f t="shared" si="102"/>
        <v>Cost-Saving</v>
      </c>
      <c r="AR170" s="167">
        <f t="shared" si="100"/>
        <v>-1.5910387437879634</v>
      </c>
      <c r="AS170" s="167">
        <f t="shared" si="134"/>
        <v>1.89</v>
      </c>
      <c r="AT170" s="159" t="str">
        <f t="shared" si="116"/>
        <v>Cost-Saving</v>
      </c>
      <c r="AU170" s="167">
        <f t="shared" si="135"/>
        <v>1.17</v>
      </c>
      <c r="AV170" s="162" t="str">
        <f t="shared" si="117"/>
        <v>Cost-Saving</v>
      </c>
      <c r="AW170" s="167">
        <f t="shared" si="136"/>
        <v>0.67142448878179284</v>
      </c>
      <c r="AX170" s="159" t="str">
        <f t="shared" si="118"/>
        <v>Cost-Saving</v>
      </c>
      <c r="AY170" s="167">
        <f t="shared" si="137"/>
        <v>0.16670017209696561</v>
      </c>
      <c r="AZ170" s="159" t="str">
        <f t="shared" si="119"/>
        <v>Cost-Saving</v>
      </c>
      <c r="BA170" s="167">
        <f t="shared" si="138"/>
        <v>1.3237396338136047</v>
      </c>
      <c r="BB170" s="159" t="str">
        <f t="shared" si="120"/>
        <v>Cost-Saving</v>
      </c>
      <c r="BC170" s="167">
        <f t="shared" si="139"/>
        <v>0.54863988350299309</v>
      </c>
      <c r="BD170" s="159" t="str">
        <f t="shared" si="121"/>
        <v>Cost-Saving</v>
      </c>
      <c r="BE170" s="162" t="s">
        <v>160</v>
      </c>
      <c r="BF170" s="162" t="s">
        <v>239</v>
      </c>
      <c r="BG170" s="168" t="str">
        <f t="shared" si="140"/>
        <v>.</v>
      </c>
      <c r="BH170" s="168" t="str">
        <f t="shared" si="141"/>
        <v>.</v>
      </c>
      <c r="BI170" s="163" t="str">
        <f t="shared" si="142"/>
        <v>.</v>
      </c>
      <c r="BJ170" s="163" t="str">
        <f t="shared" si="143"/>
        <v>.</v>
      </c>
      <c r="BK170" s="163" t="str">
        <f t="shared" si="122"/>
        <v>.</v>
      </c>
      <c r="BL170" s="163" t="str">
        <f t="shared" si="123"/>
        <v>.</v>
      </c>
      <c r="BM170" s="163">
        <f t="shared" si="124"/>
        <v>0</v>
      </c>
      <c r="BN170" s="163" t="s">
        <v>157</v>
      </c>
      <c r="BO170" s="162" t="str">
        <f t="shared" si="129"/>
        <v/>
      </c>
      <c r="BP170" s="162" t="s">
        <v>279</v>
      </c>
      <c r="BQ170" s="162" t="s">
        <v>1425</v>
      </c>
    </row>
    <row r="171" spans="1:69">
      <c r="A171" s="159">
        <f t="shared" si="113"/>
        <v>51</v>
      </c>
      <c r="B171" s="159">
        <f t="shared" si="114"/>
        <v>1</v>
      </c>
      <c r="C171" s="160" t="str">
        <f t="shared" ref="C171:C172" si="146">_xlfn.CONCAT(TEXT(A171,"00"),TEXT(B171,"00"))</f>
        <v>5101</v>
      </c>
      <c r="D171" s="159" t="s">
        <v>76</v>
      </c>
      <c r="E171" s="159">
        <v>2021</v>
      </c>
      <c r="F171" s="162" t="s">
        <v>77</v>
      </c>
      <c r="G171" s="162" t="s">
        <v>346</v>
      </c>
      <c r="H171" s="163" t="str">
        <f t="shared" ref="H171:H172" si="147">VLOOKUP(G171,income,T171-1985,FALSE)</f>
        <v>L</v>
      </c>
      <c r="I171" s="163" t="s">
        <v>157</v>
      </c>
      <c r="J171" s="180" t="s">
        <v>564</v>
      </c>
      <c r="K171" s="163" t="s">
        <v>186</v>
      </c>
      <c r="L171" s="163" t="s">
        <v>151</v>
      </c>
      <c r="M171" s="163" t="str">
        <f t="shared" si="115"/>
        <v>PCV13 vs NoVax</v>
      </c>
      <c r="N171" s="159" t="s">
        <v>331</v>
      </c>
      <c r="O171" s="159">
        <v>3</v>
      </c>
      <c r="P171" s="162" t="s">
        <v>148</v>
      </c>
      <c r="Q171" s="162" t="s">
        <v>167</v>
      </c>
      <c r="R171" s="162" t="s">
        <v>154</v>
      </c>
      <c r="S171" s="162" t="s">
        <v>155</v>
      </c>
      <c r="T171" s="159">
        <v>2017</v>
      </c>
      <c r="U171" s="165">
        <v>0.2</v>
      </c>
      <c r="V171" s="165">
        <f>IF(ISNUMBER(U171),U171/VLOOKUP($S171,xRates!$A$1:$AA$267,data!$T171-xRates!$B$1+2,FALSE),U171)</f>
        <v>0.2</v>
      </c>
      <c r="W171" s="162" t="s">
        <v>591</v>
      </c>
      <c r="Y171" s="165"/>
      <c r="AA171" s="163" t="s">
        <v>157</v>
      </c>
      <c r="AB171" s="162"/>
      <c r="AC171" s="162" t="str">
        <f>IF(AA171="No","","")</f>
        <v/>
      </c>
      <c r="AD171" s="163" t="s">
        <v>157</v>
      </c>
      <c r="AE171" s="162" t="str">
        <f>IF(AD171="No", "", "")</f>
        <v/>
      </c>
      <c r="AF171" s="163" t="s">
        <v>148</v>
      </c>
      <c r="AG171" s="163" t="s">
        <v>148</v>
      </c>
      <c r="AH171" s="163" t="s">
        <v>157</v>
      </c>
      <c r="AJ171" s="162"/>
      <c r="AK171" s="162" t="s">
        <v>558</v>
      </c>
      <c r="AL171" s="163" t="s">
        <v>247</v>
      </c>
      <c r="AM171" s="179">
        <v>-999999</v>
      </c>
      <c r="AN171" s="179">
        <v>-999999</v>
      </c>
      <c r="AO171" s="179">
        <f t="shared" ref="AO171:AO172" si="148">VLOOKUP(G171,gdppc,T171-1958,FALSE)</f>
        <v>679.75507170000003</v>
      </c>
      <c r="AP171" s="163" t="str">
        <f t="shared" ref="AP171:AP172" si="149">IF(AN171="NA", ".", IF(AN171&lt;0,"Cost-Saving",IF(AN171&lt;=AO171,"Cost-Effective",IF(AN171&gt;AO171&amp;AN171&lt;&gt;"NA","Not Cost-Effective","Missing"))))</f>
        <v>Cost-Saving</v>
      </c>
      <c r="AQ171" s="163" t="str">
        <f t="shared" ref="AQ171:AQ172" si="150">IF(AN171="NA", ".", IF(AN171&lt;0,"Cost-Saving",IF(AN171&lt;=AO171*3,"Cost-Effective",IF(AN171&gt;AO171*3&amp;AN171&lt;&gt;"NA","Not Cost-Effective","Missing"))))</f>
        <v>Cost-Saving</v>
      </c>
      <c r="AR171" s="167">
        <f t="shared" ref="AR171:AR172" si="151">IFERROR(AN171/AO171,".")</f>
        <v>-1471.1166442629133</v>
      </c>
      <c r="AS171" s="167">
        <f t="shared" ref="AS171:AS172" si="152">IFERROR(VLOOKUP(G171,ochalek,11,FALSE),".")</f>
        <v>0.69</v>
      </c>
      <c r="AT171" s="159" t="str">
        <f t="shared" ref="AT171:AT172" si="153">IF(AR171&lt;0,"Cost-Saving", IF(AS171=".", ".", IF(AR171&lt;AS171, "Cost-Effective", "Not Cost-Effective")))</f>
        <v>Cost-Saving</v>
      </c>
      <c r="AU171" s="167">
        <f t="shared" ref="AU171:AU172" si="154">IFERROR(VLOOKUP(G171,ochalek,10,FALSE),".")</f>
        <v>0.52</v>
      </c>
      <c r="AV171" s="162" t="str">
        <f t="shared" ref="AV171:AV172" si="155">IF(AR171&lt;0,"Cost-Saving", IF(AU171=".", ".", IF(AR171&lt;AU171, "Cost-Effective", "Not Cost-Effective")))</f>
        <v>Cost-Saving</v>
      </c>
      <c r="AW171" s="167">
        <f t="shared" ref="AW171:AW172" si="156">IFERROR(VLOOKUP(G171,woods,6,FALSE),".")</f>
        <v>0.35973480239731703</v>
      </c>
      <c r="AX171" s="159" t="str">
        <f t="shared" ref="AX171:AX172" si="157">IF(AR171&lt;0,"Cost-Saving", IF(AW171=".", ".", IF(AR171&lt;AW171, "Cost-Effective", "Not Cost-Effective")))</f>
        <v>Cost-Saving</v>
      </c>
      <c r="AY171" s="167">
        <f t="shared" ref="AY171:AY172" si="158">IFERROR(VLOOKUP(G171,woods,5,FALSE),".")</f>
        <v>1.7130228685586526E-2</v>
      </c>
      <c r="AZ171" s="159" t="str">
        <f t="shared" ref="AZ171:AZ172" si="159">IF(AR171&lt;0,"Cost-Saving", IF(AY171=".", ".", IF(AR171&lt;AY171, "Cost-Effective", "Not Cost-Effective")))</f>
        <v>Cost-Saving</v>
      </c>
      <c r="BA171" s="167">
        <f t="shared" si="138"/>
        <v>0.25516617130748365</v>
      </c>
      <c r="BB171" s="159" t="str">
        <f t="shared" si="120"/>
        <v>Cost-Saving</v>
      </c>
      <c r="BC171" s="167">
        <f t="shared" si="139"/>
        <v>5.0515130360364778E-2</v>
      </c>
      <c r="BD171" s="159" t="str">
        <f t="shared" si="121"/>
        <v>Cost-Saving</v>
      </c>
      <c r="BE171" s="162" t="s">
        <v>178</v>
      </c>
      <c r="BF171" s="162" t="s">
        <v>239</v>
      </c>
      <c r="BG171" s="168" t="str">
        <f t="shared" si="140"/>
        <v>.</v>
      </c>
      <c r="BH171" s="168" t="str">
        <f t="shared" si="141"/>
        <v>.</v>
      </c>
      <c r="BI171" s="163" t="str">
        <f t="shared" si="142"/>
        <v>.</v>
      </c>
      <c r="BJ171" s="163" t="str">
        <f t="shared" si="143"/>
        <v>.</v>
      </c>
      <c r="BK171" s="163" t="str">
        <f t="shared" si="122"/>
        <v>.</v>
      </c>
      <c r="BL171" s="163" t="str">
        <f t="shared" si="123"/>
        <v>.</v>
      </c>
      <c r="BM171" s="163">
        <f t="shared" si="124"/>
        <v>0</v>
      </c>
      <c r="BN171" s="163" t="s">
        <v>148</v>
      </c>
      <c r="BO171" s="162" t="s">
        <v>592</v>
      </c>
      <c r="BP171" s="162" t="s">
        <v>1420</v>
      </c>
      <c r="BQ171" s="162" t="s">
        <v>1428</v>
      </c>
    </row>
    <row r="172" spans="1:69">
      <c r="A172" s="159">
        <f t="shared" si="113"/>
        <v>51</v>
      </c>
      <c r="B172" s="159">
        <f t="shared" si="114"/>
        <v>2</v>
      </c>
      <c r="C172" s="160" t="str">
        <f t="shared" si="146"/>
        <v>5102</v>
      </c>
      <c r="D172" s="159" t="s">
        <v>76</v>
      </c>
      <c r="E172" s="159">
        <v>2021</v>
      </c>
      <c r="F172" s="162" t="s">
        <v>77</v>
      </c>
      <c r="G172" s="162" t="s">
        <v>346</v>
      </c>
      <c r="H172" s="163" t="str">
        <f t="shared" si="147"/>
        <v>L</v>
      </c>
      <c r="I172" s="163" t="s">
        <v>157</v>
      </c>
      <c r="J172" s="180" t="s">
        <v>564</v>
      </c>
      <c r="K172" s="163" t="s">
        <v>186</v>
      </c>
      <c r="L172" s="163" t="s">
        <v>151</v>
      </c>
      <c r="M172" s="163" t="str">
        <f t="shared" si="115"/>
        <v>PCV13 vs NoVax</v>
      </c>
      <c r="N172" s="159" t="s">
        <v>331</v>
      </c>
      <c r="O172" s="159">
        <v>3</v>
      </c>
      <c r="P172" s="162" t="s">
        <v>148</v>
      </c>
      <c r="Q172" s="162" t="s">
        <v>153</v>
      </c>
      <c r="R172" s="162" t="s">
        <v>154</v>
      </c>
      <c r="S172" s="162" t="s">
        <v>155</v>
      </c>
      <c r="T172" s="159">
        <v>2017</v>
      </c>
      <c r="U172" s="165">
        <v>0.2</v>
      </c>
      <c r="V172" s="165">
        <f>IF(ISNUMBER(U172),U172/VLOOKUP($S172,xRates!$A$1:$AA$267,data!$T172-xRates!$B$1+2,FALSE),U172)</f>
        <v>0.2</v>
      </c>
      <c r="W172" s="162" t="s">
        <v>591</v>
      </c>
      <c r="Y172" s="165"/>
      <c r="AA172" s="163" t="s">
        <v>157</v>
      </c>
      <c r="AB172" s="162"/>
      <c r="AC172" s="162" t="str">
        <f>IF(AA172="No","","")</f>
        <v/>
      </c>
      <c r="AD172" s="163" t="s">
        <v>157</v>
      </c>
      <c r="AE172" s="162" t="str">
        <f>IF(AD172="No", "", "")</f>
        <v/>
      </c>
      <c r="AF172" s="163" t="s">
        <v>148</v>
      </c>
      <c r="AG172" s="163" t="s">
        <v>148</v>
      </c>
      <c r="AH172" s="163" t="s">
        <v>157</v>
      </c>
      <c r="AJ172" s="162"/>
      <c r="AK172" s="162" t="s">
        <v>558</v>
      </c>
      <c r="AL172" s="163" t="s">
        <v>247</v>
      </c>
      <c r="AM172" s="179">
        <v>-999999</v>
      </c>
      <c r="AN172" s="179">
        <v>-999999</v>
      </c>
      <c r="AO172" s="179">
        <f t="shared" si="148"/>
        <v>679.75507170000003</v>
      </c>
      <c r="AP172" s="163" t="str">
        <f t="shared" si="149"/>
        <v>Cost-Saving</v>
      </c>
      <c r="AQ172" s="163" t="str">
        <f t="shared" si="150"/>
        <v>Cost-Saving</v>
      </c>
      <c r="AR172" s="167">
        <f t="shared" si="151"/>
        <v>-1471.1166442629133</v>
      </c>
      <c r="AS172" s="167">
        <f t="shared" si="152"/>
        <v>0.69</v>
      </c>
      <c r="AT172" s="159" t="str">
        <f t="shared" si="153"/>
        <v>Cost-Saving</v>
      </c>
      <c r="AU172" s="167">
        <f t="shared" si="154"/>
        <v>0.52</v>
      </c>
      <c r="AV172" s="162" t="str">
        <f t="shared" si="155"/>
        <v>Cost-Saving</v>
      </c>
      <c r="AW172" s="167">
        <f t="shared" si="156"/>
        <v>0.35973480239731703</v>
      </c>
      <c r="AX172" s="159" t="str">
        <f t="shared" si="157"/>
        <v>Cost-Saving</v>
      </c>
      <c r="AY172" s="167">
        <f t="shared" si="158"/>
        <v>1.7130228685586526E-2</v>
      </c>
      <c r="AZ172" s="159" t="str">
        <f t="shared" si="159"/>
        <v>Cost-Saving</v>
      </c>
      <c r="BA172" s="167">
        <f t="shared" si="138"/>
        <v>0.25516617130748365</v>
      </c>
      <c r="BB172" s="159" t="str">
        <f t="shared" si="120"/>
        <v>Cost-Saving</v>
      </c>
      <c r="BC172" s="167">
        <f t="shared" si="139"/>
        <v>5.0515130360364778E-2</v>
      </c>
      <c r="BD172" s="159" t="str">
        <f t="shared" si="121"/>
        <v>Cost-Saving</v>
      </c>
      <c r="BE172" s="162" t="s">
        <v>178</v>
      </c>
      <c r="BF172" s="162" t="s">
        <v>239</v>
      </c>
      <c r="BG172" s="168" t="str">
        <f t="shared" si="140"/>
        <v>.</v>
      </c>
      <c r="BH172" s="168" t="str">
        <f t="shared" si="141"/>
        <v>.</v>
      </c>
      <c r="BI172" s="163" t="str">
        <f t="shared" si="142"/>
        <v>.</v>
      </c>
      <c r="BJ172" s="163" t="str">
        <f t="shared" si="143"/>
        <v>.</v>
      </c>
      <c r="BK172" s="163" t="str">
        <f t="shared" si="122"/>
        <v>.</v>
      </c>
      <c r="BL172" s="163" t="str">
        <f t="shared" si="123"/>
        <v>.</v>
      </c>
      <c r="BM172" s="163">
        <f t="shared" si="124"/>
        <v>0</v>
      </c>
      <c r="BN172" s="163" t="s">
        <v>148</v>
      </c>
      <c r="BO172" s="162" t="s">
        <v>592</v>
      </c>
      <c r="BP172" s="162" t="s">
        <v>1420</v>
      </c>
      <c r="BQ172" s="162" t="s">
        <v>1428</v>
      </c>
    </row>
    <row r="173" spans="1:69">
      <c r="A173" s="159">
        <f t="shared" si="113"/>
        <v>52</v>
      </c>
      <c r="B173" s="159">
        <f t="shared" si="114"/>
        <v>1</v>
      </c>
      <c r="C173" s="160" t="str">
        <f t="shared" si="101"/>
        <v>5201</v>
      </c>
      <c r="D173" s="159" t="s">
        <v>78</v>
      </c>
      <c r="E173" s="159">
        <v>2021</v>
      </c>
      <c r="F173" s="162" t="s">
        <v>79</v>
      </c>
      <c r="G173" s="182" t="s">
        <v>285</v>
      </c>
      <c r="H173" s="163" t="str">
        <f t="shared" si="144"/>
        <v>LM</v>
      </c>
      <c r="I173" s="163" t="s">
        <v>148</v>
      </c>
      <c r="J173" s="180" t="s">
        <v>237</v>
      </c>
      <c r="K173" s="163" t="s">
        <v>186</v>
      </c>
      <c r="L173" s="163" t="s">
        <v>183</v>
      </c>
      <c r="M173" s="163" t="str">
        <f t="shared" si="115"/>
        <v>PCV13 vs PCV10</v>
      </c>
      <c r="N173" s="159" t="s">
        <v>308</v>
      </c>
      <c r="O173" s="159">
        <v>3</v>
      </c>
      <c r="P173" s="162" t="s">
        <v>148</v>
      </c>
      <c r="Q173" s="162" t="s">
        <v>153</v>
      </c>
      <c r="R173" s="162" t="s">
        <v>286</v>
      </c>
      <c r="S173" s="162" t="s">
        <v>285</v>
      </c>
      <c r="T173" s="159">
        <v>2019</v>
      </c>
      <c r="U173" s="165">
        <v>704.43</v>
      </c>
      <c r="V173" s="165">
        <f>IF(ISNUMBER(U173),U173/VLOOKUP($S173,xRates!$A$1:$AA$267,data!$T173-xRates!$B$1+2,FALSE),U173)</f>
        <v>13.600142018057273</v>
      </c>
      <c r="W173" s="162" t="s">
        <v>593</v>
      </c>
      <c r="X173" s="159">
        <v>624.27</v>
      </c>
      <c r="Y173" s="165">
        <v>12.052525669850253</v>
      </c>
      <c r="Z173" s="162" t="s">
        <v>593</v>
      </c>
      <c r="AA173" s="163" t="s">
        <v>148</v>
      </c>
      <c r="AB173" s="162" t="s">
        <v>594</v>
      </c>
      <c r="AC173" s="162" t="s">
        <v>157</v>
      </c>
      <c r="AD173" s="163" t="s">
        <v>148</v>
      </c>
      <c r="AE173" s="162" t="s">
        <v>595</v>
      </c>
      <c r="AF173" s="163" t="s">
        <v>148</v>
      </c>
      <c r="AG173" s="163" t="s">
        <v>148</v>
      </c>
      <c r="AH173" s="163" t="s">
        <v>148</v>
      </c>
      <c r="AJ173" s="162" t="s">
        <v>589</v>
      </c>
      <c r="AK173" s="184" t="s">
        <v>596</v>
      </c>
      <c r="AL173" s="163" t="s">
        <v>159</v>
      </c>
      <c r="AM173" s="179">
        <f>-12274777282/153349</f>
        <v>-80044.716835453772</v>
      </c>
      <c r="AN173" s="179">
        <f>AM173/xRates!Y157</f>
        <v>-1545.3906232803135</v>
      </c>
      <c r="AO173" s="179">
        <f t="shared" si="145"/>
        <v>3485.3408439999998</v>
      </c>
      <c r="AP173" s="163" t="str">
        <f t="shared" si="128"/>
        <v>Cost-Saving</v>
      </c>
      <c r="AQ173" s="163" t="str">
        <f t="shared" si="102"/>
        <v>Cost-Saving</v>
      </c>
      <c r="AR173" s="167">
        <f t="shared" si="100"/>
        <v>-0.44339727230428477</v>
      </c>
      <c r="AS173" s="167">
        <f t="shared" si="134"/>
        <v>0.34</v>
      </c>
      <c r="AT173" s="159" t="str">
        <f t="shared" si="116"/>
        <v>Cost-Saving</v>
      </c>
      <c r="AU173" s="167">
        <f t="shared" si="135"/>
        <v>0.23</v>
      </c>
      <c r="AV173" s="162" t="str">
        <f t="shared" si="117"/>
        <v>Cost-Saving</v>
      </c>
      <c r="AW173" s="167">
        <f t="shared" si="136"/>
        <v>0.49487542715488553</v>
      </c>
      <c r="AX173" s="159" t="str">
        <f t="shared" si="118"/>
        <v>Cost-Saving</v>
      </c>
      <c r="AY173" s="167">
        <f t="shared" si="137"/>
        <v>8.9154193773153201E-2</v>
      </c>
      <c r="AZ173" s="159" t="str">
        <f t="shared" si="119"/>
        <v>Cost-Saving</v>
      </c>
      <c r="BA173" s="167">
        <f t="shared" si="138"/>
        <v>0.40196929445560992</v>
      </c>
      <c r="BB173" s="159" t="str">
        <f t="shared" si="120"/>
        <v>Cost-Saving</v>
      </c>
      <c r="BC173" s="167">
        <f t="shared" si="139"/>
        <v>0.16182061532688366</v>
      </c>
      <c r="BD173" s="159" t="str">
        <f t="shared" si="121"/>
        <v>Cost-Saving</v>
      </c>
      <c r="BE173" s="162" t="s">
        <v>597</v>
      </c>
      <c r="BF173" s="162" t="s">
        <v>239</v>
      </c>
      <c r="BG173" s="168" t="str">
        <f t="shared" si="140"/>
        <v>.</v>
      </c>
      <c r="BH173" s="168" t="str">
        <f t="shared" si="141"/>
        <v>.</v>
      </c>
      <c r="BI173" s="163" t="str">
        <f t="shared" si="142"/>
        <v>.</v>
      </c>
      <c r="BJ173" s="163" t="str">
        <f t="shared" si="143"/>
        <v>.</v>
      </c>
      <c r="BK173" s="163" t="str">
        <f t="shared" si="122"/>
        <v>.</v>
      </c>
      <c r="BL173" s="163" t="str">
        <f t="shared" si="123"/>
        <v>.</v>
      </c>
      <c r="BM173" s="163">
        <f t="shared" si="124"/>
        <v>0</v>
      </c>
      <c r="BN173" s="163" t="s">
        <v>157</v>
      </c>
      <c r="BO173" s="162" t="str">
        <f>IF(BN173="No", "", "")</f>
        <v/>
      </c>
      <c r="BP173" s="162" t="s">
        <v>279</v>
      </c>
      <c r="BQ173" s="162" t="s">
        <v>1425</v>
      </c>
    </row>
    <row r="174" spans="1:69">
      <c r="A174" s="159">
        <f t="shared" si="113"/>
        <v>52</v>
      </c>
      <c r="B174" s="159">
        <f t="shared" si="114"/>
        <v>2</v>
      </c>
      <c r="C174" s="160" t="str">
        <f t="shared" si="101"/>
        <v>5202</v>
      </c>
      <c r="D174" s="159" t="s">
        <v>78</v>
      </c>
      <c r="E174" s="159">
        <v>2021</v>
      </c>
      <c r="F174" s="162" t="s">
        <v>79</v>
      </c>
      <c r="G174" s="182" t="s">
        <v>285</v>
      </c>
      <c r="H174" s="163" t="str">
        <f t="shared" si="144"/>
        <v>LM</v>
      </c>
      <c r="I174" s="163" t="s">
        <v>148</v>
      </c>
      <c r="J174" s="180" t="s">
        <v>598</v>
      </c>
      <c r="K174" s="163" t="s">
        <v>186</v>
      </c>
      <c r="L174" s="163" t="s">
        <v>183</v>
      </c>
      <c r="M174" s="163" t="str">
        <f t="shared" si="115"/>
        <v>PCV13 vs PCV10</v>
      </c>
      <c r="N174" s="159" t="s">
        <v>308</v>
      </c>
      <c r="O174" s="159">
        <v>3</v>
      </c>
      <c r="P174" s="162" t="s">
        <v>148</v>
      </c>
      <c r="Q174" s="162" t="s">
        <v>153</v>
      </c>
      <c r="R174" s="162" t="s">
        <v>286</v>
      </c>
      <c r="S174" s="162" t="s">
        <v>285</v>
      </c>
      <c r="T174" s="159">
        <v>2019</v>
      </c>
      <c r="U174" s="165">
        <v>704.43</v>
      </c>
      <c r="V174" s="165">
        <f>IF(ISNUMBER(U174),U174/VLOOKUP($S174,xRates!$A$1:$AA$267,data!$T174-xRates!$B$1+2,FALSE),U174)</f>
        <v>13.600142018057273</v>
      </c>
      <c r="W174" s="162" t="s">
        <v>593</v>
      </c>
      <c r="X174" s="159">
        <v>624.27</v>
      </c>
      <c r="Y174" s="165">
        <v>12.052525669850253</v>
      </c>
      <c r="Z174" s="162" t="s">
        <v>593</v>
      </c>
      <c r="AA174" s="163" t="s">
        <v>148</v>
      </c>
      <c r="AB174" s="162" t="s">
        <v>594</v>
      </c>
      <c r="AC174" s="162" t="s">
        <v>157</v>
      </c>
      <c r="AD174" s="163" t="s">
        <v>148</v>
      </c>
      <c r="AE174" s="162" t="s">
        <v>595</v>
      </c>
      <c r="AF174" s="163" t="s">
        <v>148</v>
      </c>
      <c r="AG174" s="163" t="s">
        <v>148</v>
      </c>
      <c r="AH174" s="163" t="s">
        <v>148</v>
      </c>
      <c r="AJ174" s="162" t="s">
        <v>589</v>
      </c>
      <c r="AK174" s="184" t="s">
        <v>599</v>
      </c>
      <c r="AL174" s="163" t="s">
        <v>159</v>
      </c>
      <c r="AM174" s="179">
        <f>-7383473851/187084</f>
        <v>-39466.089302131666</v>
      </c>
      <c r="AN174" s="179">
        <f>AM174/xRates!Y157</f>
        <v>-761.95565124472489</v>
      </c>
      <c r="AO174" s="179">
        <f t="shared" si="145"/>
        <v>3485.3408439999998</v>
      </c>
      <c r="AP174" s="163" t="str">
        <f t="shared" si="128"/>
        <v>Cost-Saving</v>
      </c>
      <c r="AQ174" s="163" t="str">
        <f t="shared" si="102"/>
        <v>Cost-Saving</v>
      </c>
      <c r="AR174" s="167">
        <f t="shared" si="100"/>
        <v>-0.2186172559152797</v>
      </c>
      <c r="AS174" s="167">
        <f t="shared" si="134"/>
        <v>0.34</v>
      </c>
      <c r="AT174" s="159" t="str">
        <f t="shared" si="116"/>
        <v>Cost-Saving</v>
      </c>
      <c r="AU174" s="167">
        <f t="shared" si="135"/>
        <v>0.23</v>
      </c>
      <c r="AV174" s="162" t="str">
        <f t="shared" si="117"/>
        <v>Cost-Saving</v>
      </c>
      <c r="AW174" s="167">
        <f t="shared" si="136"/>
        <v>0.49487542715488553</v>
      </c>
      <c r="AX174" s="159" t="str">
        <f t="shared" si="118"/>
        <v>Cost-Saving</v>
      </c>
      <c r="AY174" s="167">
        <f t="shared" si="137"/>
        <v>8.9154193773153201E-2</v>
      </c>
      <c r="AZ174" s="159" t="str">
        <f t="shared" si="119"/>
        <v>Cost-Saving</v>
      </c>
      <c r="BA174" s="167">
        <f t="shared" si="138"/>
        <v>0.40196929445560992</v>
      </c>
      <c r="BB174" s="159" t="str">
        <f t="shared" si="120"/>
        <v>Cost-Saving</v>
      </c>
      <c r="BC174" s="167">
        <f t="shared" si="139"/>
        <v>0.16182061532688366</v>
      </c>
      <c r="BD174" s="159" t="str">
        <f t="shared" si="121"/>
        <v>Cost-Saving</v>
      </c>
      <c r="BE174" s="162" t="s">
        <v>597</v>
      </c>
      <c r="BF174" s="162" t="s">
        <v>239</v>
      </c>
      <c r="BG174" s="168" t="str">
        <f t="shared" si="140"/>
        <v>.</v>
      </c>
      <c r="BH174" s="168" t="str">
        <f t="shared" si="141"/>
        <v>.</v>
      </c>
      <c r="BI174" s="163" t="str">
        <f t="shared" si="142"/>
        <v>.</v>
      </c>
      <c r="BJ174" s="163" t="str">
        <f t="shared" si="143"/>
        <v>.</v>
      </c>
      <c r="BK174" s="163" t="str">
        <f t="shared" si="122"/>
        <v>.</v>
      </c>
      <c r="BL174" s="163" t="str">
        <f t="shared" si="123"/>
        <v>.</v>
      </c>
      <c r="BM174" s="163">
        <f t="shared" si="124"/>
        <v>0</v>
      </c>
      <c r="BN174" s="163" t="s">
        <v>157</v>
      </c>
      <c r="BO174" s="162" t="str">
        <f>IF(BN174="No", "", "")</f>
        <v/>
      </c>
      <c r="BP174" s="162" t="s">
        <v>279</v>
      </c>
      <c r="BQ174" s="162" t="s">
        <v>1425</v>
      </c>
    </row>
    <row r="175" spans="1:69">
      <c r="A175" s="159">
        <f t="shared" si="113"/>
        <v>53</v>
      </c>
      <c r="B175" s="159">
        <f t="shared" si="114"/>
        <v>1</v>
      </c>
      <c r="C175" s="160" t="str">
        <f t="shared" si="101"/>
        <v>5301</v>
      </c>
      <c r="D175" s="159" t="s">
        <v>78</v>
      </c>
      <c r="E175" s="159">
        <v>2021</v>
      </c>
      <c r="F175" s="162" t="s">
        <v>80</v>
      </c>
      <c r="G175" s="182" t="s">
        <v>330</v>
      </c>
      <c r="H175" s="163" t="str">
        <f t="shared" si="144"/>
        <v>UM</v>
      </c>
      <c r="I175" s="163" t="s">
        <v>157</v>
      </c>
      <c r="J175" s="180" t="s">
        <v>575</v>
      </c>
      <c r="K175" s="163" t="s">
        <v>186</v>
      </c>
      <c r="L175" s="163" t="s">
        <v>183</v>
      </c>
      <c r="M175" s="163" t="str">
        <f t="shared" si="115"/>
        <v>PCV13 vs PCV10</v>
      </c>
      <c r="N175" s="159" t="s">
        <v>152</v>
      </c>
      <c r="O175" s="159">
        <v>3</v>
      </c>
      <c r="P175" s="162" t="s">
        <v>148</v>
      </c>
      <c r="Q175" s="162" t="s">
        <v>167</v>
      </c>
      <c r="R175" s="162" t="s">
        <v>338</v>
      </c>
      <c r="S175" s="162" t="s">
        <v>330</v>
      </c>
      <c r="T175" s="159">
        <v>2019</v>
      </c>
      <c r="U175" s="165">
        <v>58.94</v>
      </c>
      <c r="V175" s="165">
        <f>IF(ISNUMBER(U175),U175/VLOOKUP($S175,xRates!$A$1:$AA$267,data!$T175-xRates!$B$1+2,FALSE),U175)</f>
        <v>14.942434244500165</v>
      </c>
      <c r="W175" s="162" t="s">
        <v>600</v>
      </c>
      <c r="X175" s="159">
        <v>57.22</v>
      </c>
      <c r="Y175" s="165">
        <v>14.506380852906336</v>
      </c>
      <c r="Z175" s="162" t="s">
        <v>600</v>
      </c>
      <c r="AA175" s="163" t="s">
        <v>148</v>
      </c>
      <c r="AB175" s="162" t="s">
        <v>594</v>
      </c>
      <c r="AC175" s="162" t="s">
        <v>157</v>
      </c>
      <c r="AD175" s="163" t="s">
        <v>148</v>
      </c>
      <c r="AE175" s="162" t="s">
        <v>595</v>
      </c>
      <c r="AF175" s="163" t="s">
        <v>148</v>
      </c>
      <c r="AG175" s="163" t="s">
        <v>148</v>
      </c>
      <c r="AH175" s="163" t="s">
        <v>148</v>
      </c>
      <c r="AJ175" s="162" t="s">
        <v>589</v>
      </c>
      <c r="AK175" s="183" t="s">
        <v>601</v>
      </c>
      <c r="AL175" s="163" t="s">
        <v>159</v>
      </c>
      <c r="AM175" s="179">
        <f>-172101081/20317</f>
        <v>-8470.7919968499282</v>
      </c>
      <c r="AN175" s="179">
        <f>AM175/xRates!Y28</f>
        <v>-2147.5102207629507</v>
      </c>
      <c r="AO175" s="179">
        <f t="shared" si="145"/>
        <v>8897.5529659999993</v>
      </c>
      <c r="AP175" s="163" t="str">
        <f t="shared" si="128"/>
        <v>Cost-Saving</v>
      </c>
      <c r="AQ175" s="163" t="str">
        <f t="shared" si="102"/>
        <v>Cost-Saving</v>
      </c>
      <c r="AR175" s="167">
        <f t="shared" si="100"/>
        <v>-0.24135964449654626</v>
      </c>
      <c r="AS175" s="167">
        <f t="shared" si="134"/>
        <v>1.0900000000000001</v>
      </c>
      <c r="AT175" s="159" t="str">
        <f t="shared" si="116"/>
        <v>Cost-Saving</v>
      </c>
      <c r="AU175" s="167">
        <f t="shared" si="135"/>
        <v>0.71</v>
      </c>
      <c r="AV175" s="162" t="str">
        <f t="shared" si="117"/>
        <v>Cost-Saving</v>
      </c>
      <c r="AW175" s="167">
        <f t="shared" si="136"/>
        <v>0.61331405073457201</v>
      </c>
      <c r="AX175" s="159" t="str">
        <f t="shared" si="118"/>
        <v>Cost-Saving</v>
      </c>
      <c r="AY175" s="167">
        <f t="shared" si="137"/>
        <v>0.19454672897770822</v>
      </c>
      <c r="AZ175" s="159" t="str">
        <f t="shared" si="119"/>
        <v>Cost-Saving</v>
      </c>
      <c r="BA175" s="167">
        <f t="shared" si="138"/>
        <v>1.6739433928535268</v>
      </c>
      <c r="BB175" s="159" t="str">
        <f t="shared" si="120"/>
        <v>Cost-Saving</v>
      </c>
      <c r="BC175" s="167">
        <f t="shared" si="139"/>
        <v>0.69378626051328196</v>
      </c>
      <c r="BD175" s="159" t="str">
        <f t="shared" si="121"/>
        <v>Cost-Saving</v>
      </c>
      <c r="BE175" s="162" t="s">
        <v>210</v>
      </c>
      <c r="BF175" s="162" t="s">
        <v>239</v>
      </c>
      <c r="BG175" s="168" t="str">
        <f t="shared" si="140"/>
        <v>.</v>
      </c>
      <c r="BH175" s="168" t="str">
        <f t="shared" si="141"/>
        <v>.</v>
      </c>
      <c r="BI175" s="163" t="str">
        <f t="shared" si="142"/>
        <v>.</v>
      </c>
      <c r="BJ175" s="163" t="str">
        <f t="shared" si="143"/>
        <v>.</v>
      </c>
      <c r="BK175" s="163" t="str">
        <f t="shared" si="122"/>
        <v>.</v>
      </c>
      <c r="BL175" s="163" t="str">
        <f t="shared" si="123"/>
        <v>.</v>
      </c>
      <c r="BM175" s="163">
        <f t="shared" si="124"/>
        <v>0</v>
      </c>
      <c r="BN175" s="163" t="s">
        <v>157</v>
      </c>
      <c r="BO175" s="162" t="str">
        <f>IF(BN175="No", "", "")</f>
        <v/>
      </c>
      <c r="BP175" s="162" t="s">
        <v>279</v>
      </c>
      <c r="BQ175" s="162" t="s">
        <v>1425</v>
      </c>
    </row>
    <row r="176" spans="1:69">
      <c r="A176" s="159">
        <f t="shared" si="113"/>
        <v>54</v>
      </c>
      <c r="B176" s="159">
        <f t="shared" si="114"/>
        <v>1</v>
      </c>
      <c r="C176" s="160" t="str">
        <f t="shared" si="101"/>
        <v>5401</v>
      </c>
      <c r="D176" s="159" t="s">
        <v>81</v>
      </c>
      <c r="E176" s="159">
        <v>2021</v>
      </c>
      <c r="F176" s="162" t="s">
        <v>82</v>
      </c>
      <c r="G176" s="182" t="s">
        <v>602</v>
      </c>
      <c r="H176" s="163" t="str">
        <f t="shared" si="144"/>
        <v>UM</v>
      </c>
      <c r="I176" s="163" t="s">
        <v>148</v>
      </c>
      <c r="J176" s="180" t="s">
        <v>603</v>
      </c>
      <c r="K176" s="163" t="s">
        <v>186</v>
      </c>
      <c r="L176" s="163" t="s">
        <v>151</v>
      </c>
      <c r="M176" s="163" t="str">
        <f t="shared" si="115"/>
        <v>PCV13 vs NoVax</v>
      </c>
      <c r="N176" s="159" t="s">
        <v>152</v>
      </c>
      <c r="O176" s="159">
        <v>3</v>
      </c>
      <c r="P176" s="162" t="s">
        <v>148</v>
      </c>
      <c r="Q176" s="162" t="s">
        <v>604</v>
      </c>
      <c r="R176" s="162" t="s">
        <v>154</v>
      </c>
      <c r="S176" s="162" t="s">
        <v>155</v>
      </c>
      <c r="T176" s="159">
        <v>2019</v>
      </c>
      <c r="U176" s="165">
        <v>3.05</v>
      </c>
      <c r="V176" s="165">
        <f>IF(ISNUMBER(U176),U176/VLOOKUP($S176,xRates!$A$1:$AA$267,data!$T176-xRates!$B$1+2,FALSE),U176)</f>
        <v>3.05</v>
      </c>
      <c r="W176" s="162" t="s">
        <v>605</v>
      </c>
      <c r="Y176" s="165"/>
      <c r="AA176" s="163" t="s">
        <v>157</v>
      </c>
      <c r="AB176" s="162"/>
      <c r="AC176" s="162" t="str">
        <f t="shared" ref="AC176:AC191" si="160">IF(AA176="No","","")</f>
        <v/>
      </c>
      <c r="AD176" s="163" t="s">
        <v>157</v>
      </c>
      <c r="AE176" s="162" t="str">
        <f t="shared" ref="AE176:AE196" si="161">IF(AD176="No", "", "")</f>
        <v/>
      </c>
      <c r="AF176" s="163" t="s">
        <v>148</v>
      </c>
      <c r="AG176" s="163" t="s">
        <v>148</v>
      </c>
      <c r="AH176" s="163" t="s">
        <v>157</v>
      </c>
      <c r="AJ176" s="162"/>
      <c r="AK176" s="162" t="s">
        <v>606</v>
      </c>
      <c r="AL176" s="163" t="s">
        <v>159</v>
      </c>
      <c r="AM176" s="179">
        <v>162</v>
      </c>
      <c r="AN176" s="179">
        <f t="shared" ref="AN176:AN192" si="162">AM176</f>
        <v>162</v>
      </c>
      <c r="AO176" s="179">
        <f t="shared" si="145"/>
        <v>4135.2015309999997</v>
      </c>
      <c r="AP176" s="163" t="str">
        <f t="shared" si="128"/>
        <v>Cost-Effective</v>
      </c>
      <c r="AQ176" s="163" t="str">
        <f t="shared" si="102"/>
        <v>Cost-Effective</v>
      </c>
      <c r="AR176" s="167">
        <f t="shared" si="100"/>
        <v>3.9175841560695153E-2</v>
      </c>
      <c r="AS176" s="167">
        <f t="shared" si="134"/>
        <v>0.23</v>
      </c>
      <c r="AT176" s="159" t="str">
        <f t="shared" si="116"/>
        <v>Cost-Effective</v>
      </c>
      <c r="AU176" s="167">
        <f t="shared" si="135"/>
        <v>0.16</v>
      </c>
      <c r="AV176" s="162" t="str">
        <f t="shared" si="117"/>
        <v>Cost-Effective</v>
      </c>
      <c r="AW176" s="167">
        <f t="shared" si="136"/>
        <v>0.49283550177804297</v>
      </c>
      <c r="AX176" s="159" t="str">
        <f t="shared" si="118"/>
        <v>Cost-Effective</v>
      </c>
      <c r="AY176" s="167">
        <f t="shared" si="137"/>
        <v>0.13024544055948281</v>
      </c>
      <c r="AZ176" s="159" t="str">
        <f t="shared" si="119"/>
        <v>Cost-Effective</v>
      </c>
      <c r="BA176" s="167">
        <f t="shared" si="138"/>
        <v>0.47156105582318236</v>
      </c>
      <c r="BB176" s="159" t="str">
        <f t="shared" si="120"/>
        <v>Cost-Effective</v>
      </c>
      <c r="BC176" s="167">
        <f t="shared" si="139"/>
        <v>0.19539555543852891</v>
      </c>
      <c r="BD176" s="159" t="str">
        <f t="shared" si="121"/>
        <v>Cost-Effective</v>
      </c>
      <c r="BE176" s="162" t="s">
        <v>160</v>
      </c>
      <c r="BF176" s="162" t="s">
        <v>174</v>
      </c>
      <c r="BG176" s="168">
        <f t="shared" si="140"/>
        <v>0</v>
      </c>
      <c r="BH176" s="168">
        <f t="shared" si="141"/>
        <v>0</v>
      </c>
      <c r="BI176" s="163">
        <f t="shared" si="142"/>
        <v>0</v>
      </c>
      <c r="BJ176" s="163">
        <f t="shared" si="143"/>
        <v>0</v>
      </c>
      <c r="BK176" s="163">
        <f t="shared" si="122"/>
        <v>0</v>
      </c>
      <c r="BL176" s="163">
        <f t="shared" si="123"/>
        <v>0</v>
      </c>
      <c r="BM176" s="163">
        <f t="shared" si="124"/>
        <v>0</v>
      </c>
      <c r="BN176" s="163" t="s">
        <v>148</v>
      </c>
      <c r="BO176" s="162" t="s">
        <v>607</v>
      </c>
      <c r="BP176" s="162" t="s">
        <v>1421</v>
      </c>
      <c r="BQ176" s="162" t="s">
        <v>1426</v>
      </c>
    </row>
    <row r="177" spans="1:70">
      <c r="A177" s="159">
        <f t="shared" si="113"/>
        <v>54</v>
      </c>
      <c r="B177" s="159">
        <f t="shared" si="114"/>
        <v>2</v>
      </c>
      <c r="C177" s="160" t="str">
        <f t="shared" si="101"/>
        <v>5402</v>
      </c>
      <c r="D177" s="159" t="s">
        <v>81</v>
      </c>
      <c r="E177" s="159">
        <v>2021</v>
      </c>
      <c r="F177" s="162" t="s">
        <v>82</v>
      </c>
      <c r="G177" s="182" t="s">
        <v>602</v>
      </c>
      <c r="H177" s="163" t="str">
        <f t="shared" si="144"/>
        <v>UM</v>
      </c>
      <c r="I177" s="163" t="s">
        <v>148</v>
      </c>
      <c r="J177" s="180" t="s">
        <v>603</v>
      </c>
      <c r="K177" s="163" t="s">
        <v>186</v>
      </c>
      <c r="L177" s="163" t="s">
        <v>151</v>
      </c>
      <c r="M177" s="163" t="str">
        <f t="shared" si="115"/>
        <v>PCV13 vs NoVax</v>
      </c>
      <c r="N177" s="159" t="s">
        <v>152</v>
      </c>
      <c r="O177" s="159">
        <v>3</v>
      </c>
      <c r="P177" s="162" t="s">
        <v>148</v>
      </c>
      <c r="Q177" s="162" t="s">
        <v>153</v>
      </c>
      <c r="R177" s="162" t="s">
        <v>154</v>
      </c>
      <c r="S177" s="162" t="s">
        <v>155</v>
      </c>
      <c r="T177" s="159">
        <v>2019</v>
      </c>
      <c r="U177" s="165">
        <v>3.05</v>
      </c>
      <c r="V177" s="165">
        <f>IF(ISNUMBER(U177),U177/VLOOKUP($S177,xRates!$A$1:$AA$267,data!$T177-xRates!$B$1+2,FALSE),U177)</f>
        <v>3.05</v>
      </c>
      <c r="W177" s="162" t="s">
        <v>605</v>
      </c>
      <c r="Y177" s="165"/>
      <c r="AA177" s="163" t="s">
        <v>157</v>
      </c>
      <c r="AB177" s="162"/>
      <c r="AC177" s="162" t="str">
        <f t="shared" si="160"/>
        <v/>
      </c>
      <c r="AD177" s="163" t="s">
        <v>157</v>
      </c>
      <c r="AE177" s="162" t="str">
        <f t="shared" si="161"/>
        <v/>
      </c>
      <c r="AF177" s="163" t="s">
        <v>148</v>
      </c>
      <c r="AG177" s="163" t="s">
        <v>148</v>
      </c>
      <c r="AH177" s="163" t="s">
        <v>157</v>
      </c>
      <c r="AJ177" s="162"/>
      <c r="AK177" s="162" t="s">
        <v>608</v>
      </c>
      <c r="AL177" s="163" t="s">
        <v>159</v>
      </c>
      <c r="AM177" s="179">
        <v>254</v>
      </c>
      <c r="AN177" s="179">
        <f t="shared" si="162"/>
        <v>254</v>
      </c>
      <c r="AO177" s="179">
        <f t="shared" si="145"/>
        <v>4135.2015309999997</v>
      </c>
      <c r="AP177" s="163" t="str">
        <f t="shared" si="128"/>
        <v>Cost-Effective</v>
      </c>
      <c r="AQ177" s="163" t="str">
        <f t="shared" si="102"/>
        <v>Cost-Effective</v>
      </c>
      <c r="AR177" s="167">
        <f t="shared" si="100"/>
        <v>6.1423850348250417E-2</v>
      </c>
      <c r="AS177" s="167">
        <f t="shared" si="134"/>
        <v>0.23</v>
      </c>
      <c r="AT177" s="159" t="str">
        <f t="shared" si="116"/>
        <v>Cost-Effective</v>
      </c>
      <c r="AU177" s="167">
        <f t="shared" si="135"/>
        <v>0.16</v>
      </c>
      <c r="AV177" s="162" t="str">
        <f t="shared" si="117"/>
        <v>Cost-Effective</v>
      </c>
      <c r="AW177" s="167">
        <f t="shared" si="136"/>
        <v>0.49283550177804297</v>
      </c>
      <c r="AX177" s="159" t="str">
        <f t="shared" si="118"/>
        <v>Cost-Effective</v>
      </c>
      <c r="AY177" s="167">
        <f t="shared" si="137"/>
        <v>0.13024544055948281</v>
      </c>
      <c r="AZ177" s="159" t="str">
        <f t="shared" si="119"/>
        <v>Cost-Effective</v>
      </c>
      <c r="BA177" s="167">
        <f t="shared" si="138"/>
        <v>0.47156105582318236</v>
      </c>
      <c r="BB177" s="159" t="str">
        <f t="shared" si="120"/>
        <v>Cost-Effective</v>
      </c>
      <c r="BC177" s="167">
        <f t="shared" si="139"/>
        <v>0.19539555543852891</v>
      </c>
      <c r="BD177" s="159" t="str">
        <f t="shared" si="121"/>
        <v>Cost-Effective</v>
      </c>
      <c r="BE177" s="162" t="s">
        <v>160</v>
      </c>
      <c r="BF177" s="162" t="s">
        <v>174</v>
      </c>
      <c r="BG177" s="168">
        <f t="shared" si="140"/>
        <v>0</v>
      </c>
      <c r="BH177" s="168">
        <f t="shared" si="141"/>
        <v>0</v>
      </c>
      <c r="BI177" s="163">
        <f t="shared" si="142"/>
        <v>0</v>
      </c>
      <c r="BJ177" s="163">
        <f t="shared" si="143"/>
        <v>0</v>
      </c>
      <c r="BK177" s="163">
        <f t="shared" si="122"/>
        <v>0</v>
      </c>
      <c r="BL177" s="163">
        <f t="shared" si="123"/>
        <v>0</v>
      </c>
      <c r="BM177" s="163">
        <f t="shared" si="124"/>
        <v>0</v>
      </c>
      <c r="BN177" s="163" t="s">
        <v>148</v>
      </c>
      <c r="BP177" s="162" t="s">
        <v>1421</v>
      </c>
      <c r="BQ177" s="162" t="s">
        <v>1426</v>
      </c>
    </row>
    <row r="178" spans="1:70">
      <c r="A178" s="159">
        <f t="shared" si="113"/>
        <v>54</v>
      </c>
      <c r="B178" s="159">
        <f t="shared" si="114"/>
        <v>3</v>
      </c>
      <c r="C178" s="160" t="str">
        <f t="shared" si="101"/>
        <v>5403</v>
      </c>
      <c r="D178" s="159" t="s">
        <v>81</v>
      </c>
      <c r="E178" s="159">
        <v>2021</v>
      </c>
      <c r="F178" s="162" t="s">
        <v>82</v>
      </c>
      <c r="G178" s="182" t="s">
        <v>602</v>
      </c>
      <c r="H178" s="163" t="str">
        <f t="shared" si="144"/>
        <v>UM</v>
      </c>
      <c r="I178" s="163" t="s">
        <v>148</v>
      </c>
      <c r="J178" s="180" t="s">
        <v>603</v>
      </c>
      <c r="K178" s="163" t="s">
        <v>186</v>
      </c>
      <c r="L178" s="163" t="s">
        <v>151</v>
      </c>
      <c r="M178" s="163" t="str">
        <f t="shared" si="115"/>
        <v>PCV13 vs NoVax</v>
      </c>
      <c r="N178" s="159" t="s">
        <v>152</v>
      </c>
      <c r="O178" s="159">
        <v>3</v>
      </c>
      <c r="P178" s="162" t="s">
        <v>148</v>
      </c>
      <c r="Q178" s="162" t="s">
        <v>609</v>
      </c>
      <c r="R178" s="162" t="s">
        <v>154</v>
      </c>
      <c r="S178" s="162" t="s">
        <v>155</v>
      </c>
      <c r="T178" s="159">
        <v>2019</v>
      </c>
      <c r="U178" s="165">
        <v>3.05</v>
      </c>
      <c r="V178" s="165">
        <f>IF(ISNUMBER(U178),U178/VLOOKUP($S178,xRates!$A$1:$AA$267,data!$T178-xRates!$B$1+2,FALSE),U178)</f>
        <v>3.05</v>
      </c>
      <c r="W178" s="162" t="s">
        <v>605</v>
      </c>
      <c r="Y178" s="165"/>
      <c r="AA178" s="163" t="s">
        <v>157</v>
      </c>
      <c r="AB178" s="162"/>
      <c r="AC178" s="162" t="str">
        <f t="shared" si="160"/>
        <v/>
      </c>
      <c r="AD178" s="163" t="s">
        <v>157</v>
      </c>
      <c r="AE178" s="162" t="str">
        <f t="shared" si="161"/>
        <v/>
      </c>
      <c r="AF178" s="163" t="s">
        <v>148</v>
      </c>
      <c r="AG178" s="163" t="s">
        <v>148</v>
      </c>
      <c r="AH178" s="163" t="s">
        <v>157</v>
      </c>
      <c r="AJ178" s="162"/>
      <c r="AK178" s="162" t="s">
        <v>610</v>
      </c>
      <c r="AL178" s="163" t="s">
        <v>159</v>
      </c>
      <c r="AM178" s="179">
        <v>322</v>
      </c>
      <c r="AN178" s="179">
        <f t="shared" si="162"/>
        <v>322</v>
      </c>
      <c r="AO178" s="179">
        <f t="shared" si="145"/>
        <v>4135.2015309999997</v>
      </c>
      <c r="AP178" s="163" t="str">
        <f t="shared" si="128"/>
        <v>Cost-Effective</v>
      </c>
      <c r="AQ178" s="163" t="str">
        <f t="shared" si="102"/>
        <v>Cost-Effective</v>
      </c>
      <c r="AR178" s="167">
        <f t="shared" si="100"/>
        <v>7.786803075644344E-2</v>
      </c>
      <c r="AS178" s="167">
        <f t="shared" si="134"/>
        <v>0.23</v>
      </c>
      <c r="AT178" s="159" t="str">
        <f t="shared" si="116"/>
        <v>Cost-Effective</v>
      </c>
      <c r="AU178" s="167">
        <f t="shared" si="135"/>
        <v>0.16</v>
      </c>
      <c r="AV178" s="162" t="str">
        <f t="shared" si="117"/>
        <v>Cost-Effective</v>
      </c>
      <c r="AW178" s="167">
        <f t="shared" si="136"/>
        <v>0.49283550177804297</v>
      </c>
      <c r="AX178" s="159" t="str">
        <f t="shared" si="118"/>
        <v>Cost-Effective</v>
      </c>
      <c r="AY178" s="167">
        <f t="shared" si="137"/>
        <v>0.13024544055948281</v>
      </c>
      <c r="AZ178" s="159" t="str">
        <f t="shared" si="119"/>
        <v>Cost-Effective</v>
      </c>
      <c r="BA178" s="167">
        <f t="shared" si="138"/>
        <v>0.47156105582318236</v>
      </c>
      <c r="BB178" s="159" t="str">
        <f t="shared" si="120"/>
        <v>Cost-Effective</v>
      </c>
      <c r="BC178" s="167">
        <f t="shared" si="139"/>
        <v>0.19539555543852891</v>
      </c>
      <c r="BD178" s="159" t="str">
        <f t="shared" si="121"/>
        <v>Cost-Effective</v>
      </c>
      <c r="BE178" s="162" t="s">
        <v>160</v>
      </c>
      <c r="BF178" s="162" t="s">
        <v>174</v>
      </c>
      <c r="BG178" s="168">
        <f t="shared" si="140"/>
        <v>0</v>
      </c>
      <c r="BH178" s="168">
        <f t="shared" si="141"/>
        <v>0</v>
      </c>
      <c r="BI178" s="163">
        <f t="shared" si="142"/>
        <v>0</v>
      </c>
      <c r="BJ178" s="163">
        <f t="shared" si="143"/>
        <v>0</v>
      </c>
      <c r="BK178" s="163">
        <f t="shared" si="122"/>
        <v>0</v>
      </c>
      <c r="BL178" s="163">
        <f t="shared" si="123"/>
        <v>0</v>
      </c>
      <c r="BM178" s="163">
        <f t="shared" si="124"/>
        <v>0</v>
      </c>
      <c r="BN178" s="163" t="s">
        <v>148</v>
      </c>
      <c r="BP178" s="162" t="s">
        <v>1421</v>
      </c>
      <c r="BQ178" s="162" t="s">
        <v>1426</v>
      </c>
    </row>
    <row r="179" spans="1:70">
      <c r="A179" s="159">
        <f t="shared" si="113"/>
        <v>54</v>
      </c>
      <c r="B179" s="159">
        <f t="shared" si="114"/>
        <v>4</v>
      </c>
      <c r="C179" s="160" t="str">
        <f t="shared" si="101"/>
        <v>5404</v>
      </c>
      <c r="D179" s="159" t="s">
        <v>81</v>
      </c>
      <c r="E179" s="159">
        <v>2021</v>
      </c>
      <c r="F179" s="162" t="s">
        <v>82</v>
      </c>
      <c r="G179" s="182" t="s">
        <v>602</v>
      </c>
      <c r="H179" s="163" t="str">
        <f t="shared" si="144"/>
        <v>UM</v>
      </c>
      <c r="I179" s="163" t="s">
        <v>148</v>
      </c>
      <c r="J179" s="180" t="s">
        <v>611</v>
      </c>
      <c r="K179" s="163" t="s">
        <v>186</v>
      </c>
      <c r="L179" s="163" t="s">
        <v>151</v>
      </c>
      <c r="M179" s="163" t="str">
        <f t="shared" si="115"/>
        <v>PCV13 vs NoVax</v>
      </c>
      <c r="N179" s="159" t="s">
        <v>152</v>
      </c>
      <c r="O179" s="159">
        <v>3</v>
      </c>
      <c r="P179" s="162" t="s">
        <v>148</v>
      </c>
      <c r="Q179" s="162" t="s">
        <v>604</v>
      </c>
      <c r="R179" s="162" t="s">
        <v>154</v>
      </c>
      <c r="S179" s="162" t="s">
        <v>155</v>
      </c>
      <c r="T179" s="159">
        <v>2019</v>
      </c>
      <c r="U179" s="165">
        <v>18.899999999999999</v>
      </c>
      <c r="V179" s="165">
        <f>IF(ISNUMBER(U179),U179/VLOOKUP($S179,xRates!$A$1:$AA$267,data!$T179-xRates!$B$1+2,FALSE),U179)</f>
        <v>18.899999999999999</v>
      </c>
      <c r="W179" s="162" t="s">
        <v>612</v>
      </c>
      <c r="Y179" s="165"/>
      <c r="AA179" s="163" t="s">
        <v>157</v>
      </c>
      <c r="AB179" s="162"/>
      <c r="AC179" s="162" t="str">
        <f t="shared" si="160"/>
        <v/>
      </c>
      <c r="AD179" s="163" t="s">
        <v>157</v>
      </c>
      <c r="AE179" s="162" t="str">
        <f t="shared" si="161"/>
        <v/>
      </c>
      <c r="AF179" s="163" t="s">
        <v>148</v>
      </c>
      <c r="AG179" s="163" t="s">
        <v>148</v>
      </c>
      <c r="AH179" s="163" t="s">
        <v>157</v>
      </c>
      <c r="AJ179" s="162"/>
      <c r="AK179" s="162" t="s">
        <v>613</v>
      </c>
      <c r="AL179" s="163" t="s">
        <v>159</v>
      </c>
      <c r="AM179" s="179">
        <v>447</v>
      </c>
      <c r="AN179" s="179">
        <f t="shared" si="162"/>
        <v>447</v>
      </c>
      <c r="AO179" s="179">
        <f t="shared" si="145"/>
        <v>4135.2015309999997</v>
      </c>
      <c r="AP179" s="163" t="str">
        <f t="shared" si="128"/>
        <v>Cost-Effective</v>
      </c>
      <c r="AQ179" s="163" t="str">
        <f t="shared" si="102"/>
        <v>Cost-Effective</v>
      </c>
      <c r="AR179" s="167">
        <f t="shared" si="100"/>
        <v>0.1080963035656218</v>
      </c>
      <c r="AS179" s="167">
        <f t="shared" si="134"/>
        <v>0.23</v>
      </c>
      <c r="AT179" s="159" t="str">
        <f t="shared" si="116"/>
        <v>Cost-Effective</v>
      </c>
      <c r="AU179" s="167">
        <f t="shared" si="135"/>
        <v>0.16</v>
      </c>
      <c r="AV179" s="162" t="str">
        <f t="shared" si="117"/>
        <v>Cost-Effective</v>
      </c>
      <c r="AW179" s="167">
        <f t="shared" si="136"/>
        <v>0.49283550177804297</v>
      </c>
      <c r="AX179" s="159" t="str">
        <f t="shared" si="118"/>
        <v>Cost-Effective</v>
      </c>
      <c r="AY179" s="167">
        <f t="shared" si="137"/>
        <v>0.13024544055948281</v>
      </c>
      <c r="AZ179" s="159" t="str">
        <f t="shared" si="119"/>
        <v>Cost-Effective</v>
      </c>
      <c r="BA179" s="167">
        <f t="shared" si="138"/>
        <v>0.47156105582318236</v>
      </c>
      <c r="BB179" s="159" t="str">
        <f t="shared" si="120"/>
        <v>Cost-Effective</v>
      </c>
      <c r="BC179" s="167">
        <f t="shared" si="139"/>
        <v>0.19539555543852891</v>
      </c>
      <c r="BD179" s="159" t="str">
        <f t="shared" si="121"/>
        <v>Cost-Effective</v>
      </c>
      <c r="BE179" s="162" t="s">
        <v>160</v>
      </c>
      <c r="BF179" s="162" t="s">
        <v>174</v>
      </c>
      <c r="BG179" s="168">
        <f t="shared" si="140"/>
        <v>0</v>
      </c>
      <c r="BH179" s="168">
        <f t="shared" si="141"/>
        <v>0</v>
      </c>
      <c r="BI179" s="163">
        <f t="shared" si="142"/>
        <v>0</v>
      </c>
      <c r="BJ179" s="163">
        <f t="shared" si="143"/>
        <v>0</v>
      </c>
      <c r="BK179" s="163">
        <f t="shared" si="122"/>
        <v>0</v>
      </c>
      <c r="BL179" s="163">
        <f t="shared" si="123"/>
        <v>0</v>
      </c>
      <c r="BM179" s="163">
        <f t="shared" si="124"/>
        <v>0</v>
      </c>
      <c r="BN179" s="163" t="s">
        <v>148</v>
      </c>
      <c r="BO179" s="162" t="s">
        <v>614</v>
      </c>
      <c r="BP179" s="162" t="s">
        <v>1421</v>
      </c>
      <c r="BQ179" s="162" t="s">
        <v>1426</v>
      </c>
    </row>
    <row r="180" spans="1:70">
      <c r="A180" s="159">
        <f t="shared" si="113"/>
        <v>54</v>
      </c>
      <c r="B180" s="159">
        <f t="shared" si="114"/>
        <v>5</v>
      </c>
      <c r="C180" s="160" t="str">
        <f t="shared" si="101"/>
        <v>5405</v>
      </c>
      <c r="D180" s="159" t="s">
        <v>81</v>
      </c>
      <c r="E180" s="159">
        <v>2021</v>
      </c>
      <c r="F180" s="162" t="s">
        <v>82</v>
      </c>
      <c r="G180" s="182" t="s">
        <v>602</v>
      </c>
      <c r="H180" s="163" t="str">
        <f t="shared" si="144"/>
        <v>UM</v>
      </c>
      <c r="I180" s="163" t="s">
        <v>148</v>
      </c>
      <c r="J180" s="180" t="s">
        <v>611</v>
      </c>
      <c r="K180" s="163" t="s">
        <v>186</v>
      </c>
      <c r="L180" s="163" t="s">
        <v>151</v>
      </c>
      <c r="M180" s="163" t="str">
        <f t="shared" si="115"/>
        <v>PCV13 vs NoVax</v>
      </c>
      <c r="N180" s="159" t="s">
        <v>152</v>
      </c>
      <c r="O180" s="159">
        <v>3</v>
      </c>
      <c r="P180" s="162" t="s">
        <v>148</v>
      </c>
      <c r="Q180" s="162" t="s">
        <v>153</v>
      </c>
      <c r="R180" s="162" t="s">
        <v>154</v>
      </c>
      <c r="S180" s="162" t="s">
        <v>155</v>
      </c>
      <c r="T180" s="159">
        <v>2019</v>
      </c>
      <c r="U180" s="165">
        <v>18.899999999999999</v>
      </c>
      <c r="V180" s="165">
        <f>IF(ISNUMBER(U180),U180/VLOOKUP($S180,xRates!$A$1:$AA$267,data!$T180-xRates!$B$1+2,FALSE),U180)</f>
        <v>18.899999999999999</v>
      </c>
      <c r="W180" s="162" t="s">
        <v>612</v>
      </c>
      <c r="Y180" s="165"/>
      <c r="AA180" s="163" t="s">
        <v>157</v>
      </c>
      <c r="AB180" s="162"/>
      <c r="AC180" s="162" t="str">
        <f t="shared" si="160"/>
        <v/>
      </c>
      <c r="AD180" s="163" t="s">
        <v>157</v>
      </c>
      <c r="AE180" s="162" t="str">
        <f t="shared" si="161"/>
        <v/>
      </c>
      <c r="AF180" s="163" t="s">
        <v>148</v>
      </c>
      <c r="AG180" s="163" t="s">
        <v>148</v>
      </c>
      <c r="AH180" s="163" t="s">
        <v>157</v>
      </c>
      <c r="AJ180" s="162"/>
      <c r="AK180" s="162" t="s">
        <v>615</v>
      </c>
      <c r="AL180" s="163" t="s">
        <v>159</v>
      </c>
      <c r="AM180" s="179">
        <v>539</v>
      </c>
      <c r="AN180" s="179">
        <f t="shared" si="162"/>
        <v>539</v>
      </c>
      <c r="AO180" s="179">
        <f t="shared" si="145"/>
        <v>4135.2015309999997</v>
      </c>
      <c r="AP180" s="163" t="str">
        <f t="shared" si="128"/>
        <v>Cost-Effective</v>
      </c>
      <c r="AQ180" s="163" t="str">
        <f t="shared" si="102"/>
        <v>Cost-Effective</v>
      </c>
      <c r="AR180" s="167">
        <f t="shared" si="100"/>
        <v>0.13034431235317706</v>
      </c>
      <c r="AS180" s="167">
        <f t="shared" si="134"/>
        <v>0.23</v>
      </c>
      <c r="AT180" s="159" t="str">
        <f t="shared" si="116"/>
        <v>Cost-Effective</v>
      </c>
      <c r="AU180" s="167">
        <f t="shared" si="135"/>
        <v>0.16</v>
      </c>
      <c r="AV180" s="162" t="str">
        <f t="shared" si="117"/>
        <v>Cost-Effective</v>
      </c>
      <c r="AW180" s="167">
        <f t="shared" si="136"/>
        <v>0.49283550177804297</v>
      </c>
      <c r="AX180" s="159" t="str">
        <f t="shared" si="118"/>
        <v>Cost-Effective</v>
      </c>
      <c r="AY180" s="167">
        <f t="shared" si="137"/>
        <v>0.13024544055948281</v>
      </c>
      <c r="AZ180" s="159" t="str">
        <f t="shared" si="119"/>
        <v>Not Cost-Effective</v>
      </c>
      <c r="BA180" s="167">
        <f t="shared" si="138"/>
        <v>0.47156105582318236</v>
      </c>
      <c r="BB180" s="159" t="str">
        <f t="shared" si="120"/>
        <v>Cost-Effective</v>
      </c>
      <c r="BC180" s="167">
        <f t="shared" si="139"/>
        <v>0.19539555543852891</v>
      </c>
      <c r="BD180" s="159" t="str">
        <f t="shared" si="121"/>
        <v>Cost-Effective</v>
      </c>
      <c r="BE180" s="162" t="s">
        <v>160</v>
      </c>
      <c r="BF180" s="162" t="s">
        <v>174</v>
      </c>
      <c r="BG180" s="168">
        <f t="shared" si="140"/>
        <v>0</v>
      </c>
      <c r="BH180" s="168">
        <f t="shared" si="141"/>
        <v>0</v>
      </c>
      <c r="BI180" s="163">
        <f t="shared" si="142"/>
        <v>1</v>
      </c>
      <c r="BJ180" s="163">
        <f t="shared" si="143"/>
        <v>0</v>
      </c>
      <c r="BK180" s="163">
        <f t="shared" si="122"/>
        <v>0</v>
      </c>
      <c r="BL180" s="163">
        <f t="shared" si="123"/>
        <v>0</v>
      </c>
      <c r="BM180" s="163">
        <f t="shared" si="124"/>
        <v>1</v>
      </c>
      <c r="BN180" s="163" t="s">
        <v>148</v>
      </c>
      <c r="BP180" s="162" t="s">
        <v>1421</v>
      </c>
      <c r="BQ180" s="162" t="s">
        <v>1426</v>
      </c>
    </row>
    <row r="181" spans="1:70">
      <c r="A181" s="159">
        <f t="shared" si="113"/>
        <v>54</v>
      </c>
      <c r="B181" s="159">
        <f t="shared" si="114"/>
        <v>6</v>
      </c>
      <c r="C181" s="160" t="str">
        <f t="shared" si="101"/>
        <v>5406</v>
      </c>
      <c r="D181" s="159" t="s">
        <v>81</v>
      </c>
      <c r="E181" s="159">
        <v>2021</v>
      </c>
      <c r="F181" s="162" t="s">
        <v>82</v>
      </c>
      <c r="G181" s="182" t="s">
        <v>602</v>
      </c>
      <c r="H181" s="163" t="str">
        <f t="shared" si="144"/>
        <v>UM</v>
      </c>
      <c r="I181" s="163" t="s">
        <v>148</v>
      </c>
      <c r="J181" s="180" t="s">
        <v>611</v>
      </c>
      <c r="K181" s="163" t="s">
        <v>186</v>
      </c>
      <c r="L181" s="163" t="s">
        <v>151</v>
      </c>
      <c r="M181" s="163" t="str">
        <f t="shared" si="115"/>
        <v>PCV13 vs NoVax</v>
      </c>
      <c r="N181" s="159" t="s">
        <v>152</v>
      </c>
      <c r="O181" s="159">
        <v>3</v>
      </c>
      <c r="P181" s="162" t="s">
        <v>148</v>
      </c>
      <c r="Q181" s="162" t="s">
        <v>609</v>
      </c>
      <c r="R181" s="162" t="s">
        <v>154</v>
      </c>
      <c r="S181" s="162" t="s">
        <v>155</v>
      </c>
      <c r="T181" s="159">
        <v>2019</v>
      </c>
      <c r="U181" s="165">
        <v>18.899999999999999</v>
      </c>
      <c r="V181" s="165">
        <f>IF(ISNUMBER(U181),U181/VLOOKUP($S181,xRates!$A$1:$AA$267,data!$T181-xRates!$B$1+2,FALSE),U181)</f>
        <v>18.899999999999999</v>
      </c>
      <c r="W181" s="162" t="s">
        <v>612</v>
      </c>
      <c r="Y181" s="165"/>
      <c r="AA181" s="163" t="s">
        <v>157</v>
      </c>
      <c r="AB181" s="162"/>
      <c r="AC181" s="162" t="str">
        <f t="shared" si="160"/>
        <v/>
      </c>
      <c r="AD181" s="163" t="s">
        <v>157</v>
      </c>
      <c r="AE181" s="162" t="str">
        <f t="shared" si="161"/>
        <v/>
      </c>
      <c r="AF181" s="163" t="s">
        <v>148</v>
      </c>
      <c r="AG181" s="163" t="s">
        <v>148</v>
      </c>
      <c r="AH181" s="163" t="s">
        <v>157</v>
      </c>
      <c r="AJ181" s="162"/>
      <c r="AK181" s="162" t="s">
        <v>616</v>
      </c>
      <c r="AL181" s="163" t="s">
        <v>159</v>
      </c>
      <c r="AM181" s="179">
        <v>607</v>
      </c>
      <c r="AN181" s="179">
        <f t="shared" si="162"/>
        <v>607</v>
      </c>
      <c r="AO181" s="179">
        <f t="shared" si="145"/>
        <v>4135.2015309999997</v>
      </c>
      <c r="AP181" s="163" t="str">
        <f t="shared" si="128"/>
        <v>Cost-Effective</v>
      </c>
      <c r="AQ181" s="163" t="str">
        <f t="shared" si="102"/>
        <v>Cost-Effective</v>
      </c>
      <c r="AR181" s="167">
        <f t="shared" si="100"/>
        <v>0.1467884927613701</v>
      </c>
      <c r="AS181" s="167">
        <f t="shared" si="134"/>
        <v>0.23</v>
      </c>
      <c r="AT181" s="159" t="str">
        <f t="shared" si="116"/>
        <v>Cost-Effective</v>
      </c>
      <c r="AU181" s="167">
        <f t="shared" si="135"/>
        <v>0.16</v>
      </c>
      <c r="AV181" s="162" t="str">
        <f t="shared" si="117"/>
        <v>Cost-Effective</v>
      </c>
      <c r="AW181" s="167">
        <f t="shared" si="136"/>
        <v>0.49283550177804297</v>
      </c>
      <c r="AX181" s="159" t="str">
        <f t="shared" si="118"/>
        <v>Cost-Effective</v>
      </c>
      <c r="AY181" s="167">
        <f t="shared" si="137"/>
        <v>0.13024544055948281</v>
      </c>
      <c r="AZ181" s="159" t="str">
        <f t="shared" si="119"/>
        <v>Not Cost-Effective</v>
      </c>
      <c r="BA181" s="167">
        <f t="shared" si="138"/>
        <v>0.47156105582318236</v>
      </c>
      <c r="BB181" s="159" t="str">
        <f t="shared" si="120"/>
        <v>Cost-Effective</v>
      </c>
      <c r="BC181" s="167">
        <f t="shared" si="139"/>
        <v>0.19539555543852891</v>
      </c>
      <c r="BD181" s="159" t="str">
        <f t="shared" si="121"/>
        <v>Cost-Effective</v>
      </c>
      <c r="BE181" s="162" t="s">
        <v>160</v>
      </c>
      <c r="BF181" s="162" t="s">
        <v>174</v>
      </c>
      <c r="BG181" s="168">
        <f t="shared" si="140"/>
        <v>0</v>
      </c>
      <c r="BH181" s="168">
        <f t="shared" si="141"/>
        <v>0</v>
      </c>
      <c r="BI181" s="163">
        <f t="shared" si="142"/>
        <v>1</v>
      </c>
      <c r="BJ181" s="163">
        <f t="shared" si="143"/>
        <v>0</v>
      </c>
      <c r="BK181" s="163">
        <f t="shared" si="122"/>
        <v>0</v>
      </c>
      <c r="BL181" s="163">
        <f t="shared" si="123"/>
        <v>0</v>
      </c>
      <c r="BM181" s="163">
        <f t="shared" si="124"/>
        <v>1</v>
      </c>
      <c r="BN181" s="163" t="s">
        <v>148</v>
      </c>
      <c r="BP181" s="162" t="s">
        <v>1421</v>
      </c>
      <c r="BQ181" s="162" t="s">
        <v>1426</v>
      </c>
    </row>
    <row r="182" spans="1:70">
      <c r="A182" s="159">
        <f t="shared" si="113"/>
        <v>54</v>
      </c>
      <c r="B182" s="159">
        <f t="shared" si="114"/>
        <v>7</v>
      </c>
      <c r="C182" s="160" t="str">
        <f t="shared" si="101"/>
        <v>5407</v>
      </c>
      <c r="D182" s="159" t="s">
        <v>81</v>
      </c>
      <c r="E182" s="159">
        <v>2021</v>
      </c>
      <c r="F182" s="162" t="s">
        <v>82</v>
      </c>
      <c r="G182" s="182" t="s">
        <v>602</v>
      </c>
      <c r="H182" s="163" t="str">
        <f t="shared" si="144"/>
        <v>UM</v>
      </c>
      <c r="I182" s="163" t="s">
        <v>148</v>
      </c>
      <c r="J182" s="180" t="s">
        <v>617</v>
      </c>
      <c r="K182" s="163" t="s">
        <v>183</v>
      </c>
      <c r="L182" s="163" t="s">
        <v>151</v>
      </c>
      <c r="M182" s="163" t="str">
        <f t="shared" si="115"/>
        <v>PCV10 vs NoVax</v>
      </c>
      <c r="N182" s="159" t="s">
        <v>152</v>
      </c>
      <c r="O182" s="159">
        <v>3</v>
      </c>
      <c r="P182" s="162" t="s">
        <v>148</v>
      </c>
      <c r="Q182" s="162" t="s">
        <v>604</v>
      </c>
      <c r="R182" s="162" t="s">
        <v>154</v>
      </c>
      <c r="S182" s="162" t="s">
        <v>155</v>
      </c>
      <c r="T182" s="159">
        <v>2019</v>
      </c>
      <c r="U182" s="165">
        <v>3.3</v>
      </c>
      <c r="V182" s="165">
        <f>IF(ISNUMBER(U182),U182/VLOOKUP($S182,xRates!$A$1:$AA$267,data!$T182-xRates!$B$1+2,FALSE),U182)</f>
        <v>3.3</v>
      </c>
      <c r="W182" s="162" t="s">
        <v>605</v>
      </c>
      <c r="Y182" s="165"/>
      <c r="AA182" s="163" t="s">
        <v>157</v>
      </c>
      <c r="AB182" s="162"/>
      <c r="AC182" s="162" t="str">
        <f t="shared" si="160"/>
        <v/>
      </c>
      <c r="AD182" s="163" t="s">
        <v>157</v>
      </c>
      <c r="AE182" s="162" t="str">
        <f t="shared" si="161"/>
        <v/>
      </c>
      <c r="AF182" s="163" t="s">
        <v>148</v>
      </c>
      <c r="AG182" s="163" t="s">
        <v>148</v>
      </c>
      <c r="AH182" s="163" t="s">
        <v>157</v>
      </c>
      <c r="AJ182" s="162"/>
      <c r="AK182" s="162" t="s">
        <v>618</v>
      </c>
      <c r="AL182" s="163" t="s">
        <v>159</v>
      </c>
      <c r="AM182" s="179">
        <v>718</v>
      </c>
      <c r="AN182" s="179">
        <f t="shared" si="162"/>
        <v>718</v>
      </c>
      <c r="AO182" s="179">
        <f t="shared" si="145"/>
        <v>4135.2015309999997</v>
      </c>
      <c r="AP182" s="163" t="str">
        <f t="shared" si="128"/>
        <v>Cost-Effective</v>
      </c>
      <c r="AQ182" s="163" t="str">
        <f t="shared" si="102"/>
        <v>Cost-Effective</v>
      </c>
      <c r="AR182" s="167">
        <f t="shared" si="100"/>
        <v>0.17363119901592047</v>
      </c>
      <c r="AS182" s="167">
        <f t="shared" si="134"/>
        <v>0.23</v>
      </c>
      <c r="AT182" s="159" t="str">
        <f t="shared" si="116"/>
        <v>Cost-Effective</v>
      </c>
      <c r="AU182" s="167">
        <f t="shared" si="135"/>
        <v>0.16</v>
      </c>
      <c r="AV182" s="162" t="str">
        <f t="shared" si="117"/>
        <v>Not Cost-Effective</v>
      </c>
      <c r="AW182" s="167">
        <f t="shared" si="136"/>
        <v>0.49283550177804297</v>
      </c>
      <c r="AX182" s="159" t="str">
        <f t="shared" si="118"/>
        <v>Cost-Effective</v>
      </c>
      <c r="AY182" s="167">
        <f t="shared" si="137"/>
        <v>0.13024544055948281</v>
      </c>
      <c r="AZ182" s="159" t="str">
        <f t="shared" si="119"/>
        <v>Not Cost-Effective</v>
      </c>
      <c r="BA182" s="167">
        <f t="shared" si="138"/>
        <v>0.47156105582318236</v>
      </c>
      <c r="BB182" s="159" t="str">
        <f t="shared" si="120"/>
        <v>Cost-Effective</v>
      </c>
      <c r="BC182" s="167">
        <f t="shared" si="139"/>
        <v>0.19539555543852891</v>
      </c>
      <c r="BD182" s="159" t="str">
        <f t="shared" si="121"/>
        <v>Cost-Effective</v>
      </c>
      <c r="BE182" s="162" t="s">
        <v>160</v>
      </c>
      <c r="BF182" s="162" t="s">
        <v>174</v>
      </c>
      <c r="BG182" s="168">
        <f t="shared" si="140"/>
        <v>1</v>
      </c>
      <c r="BH182" s="168">
        <f t="shared" si="141"/>
        <v>0</v>
      </c>
      <c r="BI182" s="163">
        <f t="shared" si="142"/>
        <v>1</v>
      </c>
      <c r="BJ182" s="163">
        <f t="shared" si="143"/>
        <v>0</v>
      </c>
      <c r="BK182" s="163">
        <f t="shared" si="122"/>
        <v>0</v>
      </c>
      <c r="BL182" s="163">
        <f t="shared" si="123"/>
        <v>0</v>
      </c>
      <c r="BM182" s="163">
        <f t="shared" si="124"/>
        <v>2</v>
      </c>
      <c r="BN182" s="163" t="s">
        <v>148</v>
      </c>
      <c r="BO182" s="162" t="s">
        <v>177</v>
      </c>
      <c r="BP182" s="162" t="s">
        <v>1421</v>
      </c>
      <c r="BQ182" s="162" t="s">
        <v>1426</v>
      </c>
    </row>
    <row r="183" spans="1:70">
      <c r="A183" s="159">
        <f t="shared" si="113"/>
        <v>54</v>
      </c>
      <c r="B183" s="159">
        <f t="shared" si="114"/>
        <v>8</v>
      </c>
      <c r="C183" s="160" t="str">
        <f t="shared" si="101"/>
        <v>5408</v>
      </c>
      <c r="D183" s="159" t="s">
        <v>81</v>
      </c>
      <c r="E183" s="159">
        <v>2021</v>
      </c>
      <c r="F183" s="162" t="s">
        <v>82</v>
      </c>
      <c r="G183" s="182" t="s">
        <v>602</v>
      </c>
      <c r="H183" s="163" t="str">
        <f t="shared" si="144"/>
        <v>UM</v>
      </c>
      <c r="I183" s="163" t="s">
        <v>148</v>
      </c>
      <c r="J183" s="180" t="s">
        <v>617</v>
      </c>
      <c r="K183" s="163" t="s">
        <v>183</v>
      </c>
      <c r="L183" s="163" t="s">
        <v>151</v>
      </c>
      <c r="M183" s="163" t="str">
        <f t="shared" si="115"/>
        <v>PCV10 vs NoVax</v>
      </c>
      <c r="N183" s="159" t="s">
        <v>152</v>
      </c>
      <c r="O183" s="159">
        <v>3</v>
      </c>
      <c r="P183" s="162" t="s">
        <v>148</v>
      </c>
      <c r="Q183" s="162" t="s">
        <v>153</v>
      </c>
      <c r="R183" s="162" t="s">
        <v>154</v>
      </c>
      <c r="S183" s="162" t="s">
        <v>155</v>
      </c>
      <c r="T183" s="159">
        <v>2019</v>
      </c>
      <c r="U183" s="165">
        <v>3.3</v>
      </c>
      <c r="V183" s="165">
        <f>IF(ISNUMBER(U183),U183/VLOOKUP($S183,xRates!$A$1:$AA$267,data!$T183-xRates!$B$1+2,FALSE),U183)</f>
        <v>3.3</v>
      </c>
      <c r="W183" s="162" t="s">
        <v>605</v>
      </c>
      <c r="Y183" s="165"/>
      <c r="AA183" s="163" t="s">
        <v>157</v>
      </c>
      <c r="AB183" s="162"/>
      <c r="AC183" s="162" t="str">
        <f t="shared" si="160"/>
        <v/>
      </c>
      <c r="AD183" s="163" t="s">
        <v>157</v>
      </c>
      <c r="AE183" s="162" t="str">
        <f t="shared" si="161"/>
        <v/>
      </c>
      <c r="AF183" s="163" t="s">
        <v>148</v>
      </c>
      <c r="AG183" s="163" t="s">
        <v>148</v>
      </c>
      <c r="AH183" s="163" t="s">
        <v>157</v>
      </c>
      <c r="AJ183" s="162"/>
      <c r="AK183" s="162" t="s">
        <v>619</v>
      </c>
      <c r="AL183" s="163" t="s">
        <v>159</v>
      </c>
      <c r="AM183" s="179">
        <v>810</v>
      </c>
      <c r="AN183" s="179">
        <f t="shared" si="162"/>
        <v>810</v>
      </c>
      <c r="AO183" s="179">
        <f t="shared" si="145"/>
        <v>4135.2015309999997</v>
      </c>
      <c r="AP183" s="163" t="str">
        <f t="shared" si="128"/>
        <v>Cost-Effective</v>
      </c>
      <c r="AQ183" s="163" t="str">
        <f t="shared" si="102"/>
        <v>Cost-Effective</v>
      </c>
      <c r="AR183" s="167">
        <f t="shared" si="100"/>
        <v>0.19587920780347576</v>
      </c>
      <c r="AS183" s="167">
        <f t="shared" si="134"/>
        <v>0.23</v>
      </c>
      <c r="AT183" s="159" t="str">
        <f t="shared" si="116"/>
        <v>Cost-Effective</v>
      </c>
      <c r="AU183" s="167">
        <f t="shared" si="135"/>
        <v>0.16</v>
      </c>
      <c r="AV183" s="162" t="str">
        <f t="shared" si="117"/>
        <v>Not Cost-Effective</v>
      </c>
      <c r="AW183" s="167">
        <f t="shared" si="136"/>
        <v>0.49283550177804297</v>
      </c>
      <c r="AX183" s="159" t="str">
        <f t="shared" si="118"/>
        <v>Cost-Effective</v>
      </c>
      <c r="AY183" s="167">
        <f t="shared" si="137"/>
        <v>0.13024544055948281</v>
      </c>
      <c r="AZ183" s="159" t="str">
        <f t="shared" si="119"/>
        <v>Not Cost-Effective</v>
      </c>
      <c r="BA183" s="167">
        <f t="shared" si="138"/>
        <v>0.47156105582318236</v>
      </c>
      <c r="BB183" s="159" t="str">
        <f t="shared" si="120"/>
        <v>Cost-Effective</v>
      </c>
      <c r="BC183" s="167">
        <f t="shared" si="139"/>
        <v>0.19539555543852891</v>
      </c>
      <c r="BD183" s="159" t="str">
        <f t="shared" si="121"/>
        <v>Not Cost-Effective</v>
      </c>
      <c r="BE183" s="162" t="s">
        <v>160</v>
      </c>
      <c r="BF183" s="162" t="s">
        <v>174</v>
      </c>
      <c r="BG183" s="168">
        <f t="shared" si="140"/>
        <v>1</v>
      </c>
      <c r="BH183" s="168">
        <f t="shared" si="141"/>
        <v>0</v>
      </c>
      <c r="BI183" s="163">
        <f t="shared" si="142"/>
        <v>1</v>
      </c>
      <c r="BJ183" s="163">
        <f t="shared" si="143"/>
        <v>0</v>
      </c>
      <c r="BK183" s="163">
        <f t="shared" si="122"/>
        <v>1</v>
      </c>
      <c r="BL183" s="163">
        <f t="shared" si="123"/>
        <v>0</v>
      </c>
      <c r="BM183" s="163">
        <f t="shared" si="124"/>
        <v>3</v>
      </c>
      <c r="BN183" s="163" t="s">
        <v>148</v>
      </c>
      <c r="BO183" s="162" t="s">
        <v>177</v>
      </c>
      <c r="BP183" s="162" t="s">
        <v>1421</v>
      </c>
      <c r="BQ183" s="162" t="s">
        <v>1426</v>
      </c>
    </row>
    <row r="184" spans="1:70">
      <c r="A184" s="159">
        <f t="shared" si="113"/>
        <v>54</v>
      </c>
      <c r="B184" s="159">
        <f t="shared" si="114"/>
        <v>9</v>
      </c>
      <c r="C184" s="160" t="str">
        <f t="shared" si="101"/>
        <v>5409</v>
      </c>
      <c r="D184" s="159" t="s">
        <v>81</v>
      </c>
      <c r="E184" s="159">
        <v>2021</v>
      </c>
      <c r="F184" s="162" t="s">
        <v>82</v>
      </c>
      <c r="G184" s="182" t="s">
        <v>602</v>
      </c>
      <c r="H184" s="163" t="str">
        <f t="shared" si="144"/>
        <v>UM</v>
      </c>
      <c r="I184" s="163" t="s">
        <v>148</v>
      </c>
      <c r="J184" s="180" t="s">
        <v>617</v>
      </c>
      <c r="K184" s="163" t="s">
        <v>183</v>
      </c>
      <c r="L184" s="163" t="s">
        <v>151</v>
      </c>
      <c r="M184" s="163" t="str">
        <f t="shared" si="115"/>
        <v>PCV10 vs NoVax</v>
      </c>
      <c r="N184" s="159" t="s">
        <v>152</v>
      </c>
      <c r="O184" s="159">
        <v>3</v>
      </c>
      <c r="P184" s="162" t="s">
        <v>148</v>
      </c>
      <c r="Q184" s="162" t="s">
        <v>609</v>
      </c>
      <c r="R184" s="162" t="s">
        <v>154</v>
      </c>
      <c r="S184" s="162" t="s">
        <v>155</v>
      </c>
      <c r="T184" s="159">
        <v>2019</v>
      </c>
      <c r="U184" s="165">
        <v>3.3</v>
      </c>
      <c r="V184" s="165">
        <f>IF(ISNUMBER(U184),U184/VLOOKUP($S184,xRates!$A$1:$AA$267,data!$T184-xRates!$B$1+2,FALSE),U184)</f>
        <v>3.3</v>
      </c>
      <c r="W184" s="162" t="s">
        <v>605</v>
      </c>
      <c r="Y184" s="165"/>
      <c r="AA184" s="163" t="s">
        <v>157</v>
      </c>
      <c r="AB184" s="162"/>
      <c r="AC184" s="162" t="str">
        <f t="shared" si="160"/>
        <v/>
      </c>
      <c r="AD184" s="163" t="s">
        <v>157</v>
      </c>
      <c r="AE184" s="162" t="str">
        <f t="shared" si="161"/>
        <v/>
      </c>
      <c r="AF184" s="163" t="s">
        <v>148</v>
      </c>
      <c r="AG184" s="163" t="s">
        <v>148</v>
      </c>
      <c r="AH184" s="163" t="s">
        <v>157</v>
      </c>
      <c r="AJ184" s="162"/>
      <c r="AK184" s="162" t="s">
        <v>620</v>
      </c>
      <c r="AL184" s="163" t="s">
        <v>159</v>
      </c>
      <c r="AM184" s="179">
        <v>978</v>
      </c>
      <c r="AN184" s="179">
        <f t="shared" si="162"/>
        <v>978</v>
      </c>
      <c r="AO184" s="179">
        <f t="shared" si="145"/>
        <v>4135.2015309999997</v>
      </c>
      <c r="AP184" s="163" t="str">
        <f t="shared" si="128"/>
        <v>Cost-Effective</v>
      </c>
      <c r="AQ184" s="163" t="str">
        <f t="shared" si="102"/>
        <v>Cost-Effective</v>
      </c>
      <c r="AR184" s="167">
        <f t="shared" si="100"/>
        <v>0.23650600645901146</v>
      </c>
      <c r="AS184" s="167">
        <f t="shared" si="134"/>
        <v>0.23</v>
      </c>
      <c r="AT184" s="159" t="str">
        <f t="shared" si="116"/>
        <v>Not Cost-Effective</v>
      </c>
      <c r="AU184" s="167">
        <f t="shared" si="135"/>
        <v>0.16</v>
      </c>
      <c r="AV184" s="162" t="str">
        <f t="shared" si="117"/>
        <v>Not Cost-Effective</v>
      </c>
      <c r="AW184" s="167">
        <f t="shared" si="136"/>
        <v>0.49283550177804297</v>
      </c>
      <c r="AX184" s="159" t="str">
        <f t="shared" si="118"/>
        <v>Cost-Effective</v>
      </c>
      <c r="AY184" s="167">
        <f t="shared" si="137"/>
        <v>0.13024544055948281</v>
      </c>
      <c r="AZ184" s="159" t="str">
        <f t="shared" si="119"/>
        <v>Not Cost-Effective</v>
      </c>
      <c r="BA184" s="167">
        <f t="shared" si="138"/>
        <v>0.47156105582318236</v>
      </c>
      <c r="BB184" s="159" t="str">
        <f t="shared" si="120"/>
        <v>Cost-Effective</v>
      </c>
      <c r="BC184" s="167">
        <f t="shared" si="139"/>
        <v>0.19539555543852891</v>
      </c>
      <c r="BD184" s="159" t="str">
        <f t="shared" si="121"/>
        <v>Not Cost-Effective</v>
      </c>
      <c r="BE184" s="162" t="s">
        <v>160</v>
      </c>
      <c r="BF184" s="162" t="s">
        <v>174</v>
      </c>
      <c r="BG184" s="168">
        <f t="shared" si="140"/>
        <v>1</v>
      </c>
      <c r="BH184" s="168">
        <f t="shared" si="141"/>
        <v>1</v>
      </c>
      <c r="BI184" s="163">
        <f t="shared" si="142"/>
        <v>1</v>
      </c>
      <c r="BJ184" s="163">
        <f t="shared" si="143"/>
        <v>0</v>
      </c>
      <c r="BK184" s="163">
        <f t="shared" si="122"/>
        <v>1</v>
      </c>
      <c r="BL184" s="163">
        <f t="shared" si="123"/>
        <v>0</v>
      </c>
      <c r="BM184" s="163">
        <f t="shared" si="124"/>
        <v>4</v>
      </c>
      <c r="BN184" s="163" t="s">
        <v>148</v>
      </c>
      <c r="BO184" s="162" t="s">
        <v>177</v>
      </c>
      <c r="BP184" s="162" t="s">
        <v>1421</v>
      </c>
      <c r="BQ184" s="162" t="s">
        <v>1426</v>
      </c>
    </row>
    <row r="185" spans="1:70">
      <c r="A185" s="159">
        <f t="shared" si="113"/>
        <v>54</v>
      </c>
      <c r="B185" s="159">
        <f t="shared" si="114"/>
        <v>10</v>
      </c>
      <c r="C185" s="160" t="str">
        <f t="shared" si="101"/>
        <v>5410</v>
      </c>
      <c r="D185" s="159" t="s">
        <v>81</v>
      </c>
      <c r="E185" s="159">
        <v>2021</v>
      </c>
      <c r="F185" s="162" t="s">
        <v>82</v>
      </c>
      <c r="G185" s="182" t="s">
        <v>602</v>
      </c>
      <c r="H185" s="163" t="str">
        <f t="shared" si="144"/>
        <v>UM</v>
      </c>
      <c r="I185" s="163" t="s">
        <v>148</v>
      </c>
      <c r="J185" s="180" t="s">
        <v>621</v>
      </c>
      <c r="K185" s="163" t="s">
        <v>183</v>
      </c>
      <c r="L185" s="163" t="s">
        <v>151</v>
      </c>
      <c r="M185" s="163" t="str">
        <f t="shared" si="115"/>
        <v>PCV10 vs NoVax</v>
      </c>
      <c r="N185" s="159" t="s">
        <v>152</v>
      </c>
      <c r="O185" s="159">
        <v>3</v>
      </c>
      <c r="P185" s="162" t="s">
        <v>148</v>
      </c>
      <c r="Q185" s="162" t="s">
        <v>604</v>
      </c>
      <c r="R185" s="162" t="s">
        <v>154</v>
      </c>
      <c r="S185" s="162" t="s">
        <v>155</v>
      </c>
      <c r="T185" s="159">
        <v>2019</v>
      </c>
      <c r="U185" s="165">
        <v>17.45</v>
      </c>
      <c r="V185" s="165">
        <f>IF(ISNUMBER(U185),U185/VLOOKUP($S185,xRates!$A$1:$AA$267,data!$T185-xRates!$B$1+2,FALSE),U185)</f>
        <v>17.45</v>
      </c>
      <c r="W185" s="162" t="s">
        <v>612</v>
      </c>
      <c r="Y185" s="165"/>
      <c r="AA185" s="163" t="s">
        <v>157</v>
      </c>
      <c r="AB185" s="162"/>
      <c r="AC185" s="162" t="str">
        <f t="shared" si="160"/>
        <v/>
      </c>
      <c r="AD185" s="163" t="s">
        <v>157</v>
      </c>
      <c r="AE185" s="162" t="str">
        <f t="shared" si="161"/>
        <v/>
      </c>
      <c r="AF185" s="163" t="s">
        <v>148</v>
      </c>
      <c r="AG185" s="163" t="s">
        <v>148</v>
      </c>
      <c r="AH185" s="163" t="s">
        <v>157</v>
      </c>
      <c r="AJ185" s="162"/>
      <c r="AK185" s="162" t="s">
        <v>622</v>
      </c>
      <c r="AL185" s="163" t="s">
        <v>159</v>
      </c>
      <c r="AM185" s="179">
        <v>1087</v>
      </c>
      <c r="AN185" s="179">
        <f t="shared" si="162"/>
        <v>1087</v>
      </c>
      <c r="AO185" s="179">
        <f t="shared" si="145"/>
        <v>4135.2015309999997</v>
      </c>
      <c r="AP185" s="163" t="str">
        <f t="shared" si="128"/>
        <v>Cost-Effective</v>
      </c>
      <c r="AQ185" s="163" t="str">
        <f t="shared" si="102"/>
        <v>Cost-Effective</v>
      </c>
      <c r="AR185" s="167">
        <f t="shared" si="100"/>
        <v>0.26286506034861501</v>
      </c>
      <c r="AS185" s="167">
        <f t="shared" si="134"/>
        <v>0.23</v>
      </c>
      <c r="AT185" s="159" t="str">
        <f t="shared" si="116"/>
        <v>Not Cost-Effective</v>
      </c>
      <c r="AU185" s="167">
        <f t="shared" si="135"/>
        <v>0.16</v>
      </c>
      <c r="AV185" s="162" t="str">
        <f t="shared" si="117"/>
        <v>Not Cost-Effective</v>
      </c>
      <c r="AW185" s="167">
        <f t="shared" si="136"/>
        <v>0.49283550177804297</v>
      </c>
      <c r="AX185" s="159" t="str">
        <f t="shared" si="118"/>
        <v>Cost-Effective</v>
      </c>
      <c r="AY185" s="167">
        <f t="shared" si="137"/>
        <v>0.13024544055948281</v>
      </c>
      <c r="AZ185" s="159" t="str">
        <f t="shared" si="119"/>
        <v>Not Cost-Effective</v>
      </c>
      <c r="BA185" s="167">
        <f t="shared" si="138"/>
        <v>0.47156105582318236</v>
      </c>
      <c r="BB185" s="159" t="str">
        <f t="shared" si="120"/>
        <v>Cost-Effective</v>
      </c>
      <c r="BC185" s="167">
        <f t="shared" si="139"/>
        <v>0.19539555543852891</v>
      </c>
      <c r="BD185" s="159" t="str">
        <f t="shared" si="121"/>
        <v>Not Cost-Effective</v>
      </c>
      <c r="BE185" s="162" t="s">
        <v>160</v>
      </c>
      <c r="BF185" s="162" t="s">
        <v>174</v>
      </c>
      <c r="BG185" s="168">
        <f t="shared" si="140"/>
        <v>1</v>
      </c>
      <c r="BH185" s="168">
        <f t="shared" si="141"/>
        <v>1</v>
      </c>
      <c r="BI185" s="163">
        <f t="shared" si="142"/>
        <v>1</v>
      </c>
      <c r="BJ185" s="163">
        <f t="shared" si="143"/>
        <v>0</v>
      </c>
      <c r="BK185" s="163">
        <f t="shared" si="122"/>
        <v>1</v>
      </c>
      <c r="BL185" s="163">
        <f t="shared" si="123"/>
        <v>0</v>
      </c>
      <c r="BM185" s="163">
        <f t="shared" si="124"/>
        <v>4</v>
      </c>
      <c r="BN185" s="163" t="s">
        <v>148</v>
      </c>
      <c r="BO185" s="162" t="s">
        <v>177</v>
      </c>
      <c r="BP185" s="162" t="s">
        <v>1421</v>
      </c>
      <c r="BQ185" s="162" t="s">
        <v>1426</v>
      </c>
    </row>
    <row r="186" spans="1:70">
      <c r="A186" s="159">
        <f t="shared" si="113"/>
        <v>54</v>
      </c>
      <c r="B186" s="159">
        <f t="shared" si="114"/>
        <v>11</v>
      </c>
      <c r="C186" s="160" t="str">
        <f t="shared" si="101"/>
        <v>5411</v>
      </c>
      <c r="D186" s="159" t="s">
        <v>81</v>
      </c>
      <c r="E186" s="159">
        <v>2021</v>
      </c>
      <c r="F186" s="162" t="s">
        <v>82</v>
      </c>
      <c r="G186" s="182" t="s">
        <v>602</v>
      </c>
      <c r="H186" s="163" t="str">
        <f t="shared" si="144"/>
        <v>UM</v>
      </c>
      <c r="I186" s="163" t="s">
        <v>148</v>
      </c>
      <c r="J186" s="180" t="s">
        <v>621</v>
      </c>
      <c r="K186" s="163" t="s">
        <v>183</v>
      </c>
      <c r="L186" s="163" t="s">
        <v>151</v>
      </c>
      <c r="M186" s="163" t="str">
        <f t="shared" si="115"/>
        <v>PCV10 vs NoVax</v>
      </c>
      <c r="N186" s="159" t="s">
        <v>152</v>
      </c>
      <c r="O186" s="159">
        <v>3</v>
      </c>
      <c r="P186" s="162" t="s">
        <v>148</v>
      </c>
      <c r="Q186" s="162" t="s">
        <v>153</v>
      </c>
      <c r="R186" s="162" t="s">
        <v>154</v>
      </c>
      <c r="S186" s="162" t="s">
        <v>155</v>
      </c>
      <c r="T186" s="159">
        <v>2019</v>
      </c>
      <c r="U186" s="165">
        <v>17.45</v>
      </c>
      <c r="V186" s="165">
        <f>IF(ISNUMBER(U186),U186/VLOOKUP($S186,xRates!$A$1:$AA$267,data!$T186-xRates!$B$1+2,FALSE),U186)</f>
        <v>17.45</v>
      </c>
      <c r="W186" s="162" t="s">
        <v>612</v>
      </c>
      <c r="Y186" s="165"/>
      <c r="AA186" s="163" t="s">
        <v>157</v>
      </c>
      <c r="AB186" s="162"/>
      <c r="AC186" s="162" t="str">
        <f t="shared" si="160"/>
        <v/>
      </c>
      <c r="AD186" s="163" t="s">
        <v>157</v>
      </c>
      <c r="AE186" s="162" t="str">
        <f t="shared" si="161"/>
        <v/>
      </c>
      <c r="AF186" s="163" t="s">
        <v>148</v>
      </c>
      <c r="AG186" s="163" t="s">
        <v>148</v>
      </c>
      <c r="AH186" s="163" t="s">
        <v>157</v>
      </c>
      <c r="AJ186" s="162"/>
      <c r="AK186" s="162" t="s">
        <v>623</v>
      </c>
      <c r="AL186" s="163" t="s">
        <v>159</v>
      </c>
      <c r="AM186" s="179">
        <v>1179</v>
      </c>
      <c r="AN186" s="179">
        <f t="shared" si="162"/>
        <v>1179</v>
      </c>
      <c r="AO186" s="179">
        <f t="shared" si="145"/>
        <v>4135.2015309999997</v>
      </c>
      <c r="AP186" s="163" t="str">
        <f t="shared" si="128"/>
        <v>Cost-Effective</v>
      </c>
      <c r="AQ186" s="163" t="str">
        <f t="shared" si="102"/>
        <v>Cost-Effective</v>
      </c>
      <c r="AR186" s="167">
        <f t="shared" si="100"/>
        <v>0.28511306913617024</v>
      </c>
      <c r="AS186" s="167">
        <f t="shared" si="134"/>
        <v>0.23</v>
      </c>
      <c r="AT186" s="159" t="str">
        <f t="shared" si="116"/>
        <v>Not Cost-Effective</v>
      </c>
      <c r="AU186" s="167">
        <f t="shared" si="135"/>
        <v>0.16</v>
      </c>
      <c r="AV186" s="162" t="str">
        <f t="shared" si="117"/>
        <v>Not Cost-Effective</v>
      </c>
      <c r="AW186" s="167">
        <f t="shared" si="136"/>
        <v>0.49283550177804297</v>
      </c>
      <c r="AX186" s="159" t="str">
        <f t="shared" si="118"/>
        <v>Cost-Effective</v>
      </c>
      <c r="AY186" s="167">
        <f t="shared" si="137"/>
        <v>0.13024544055948281</v>
      </c>
      <c r="AZ186" s="159" t="str">
        <f t="shared" si="119"/>
        <v>Not Cost-Effective</v>
      </c>
      <c r="BA186" s="167">
        <f t="shared" si="138"/>
        <v>0.47156105582318236</v>
      </c>
      <c r="BB186" s="159" t="str">
        <f t="shared" si="120"/>
        <v>Cost-Effective</v>
      </c>
      <c r="BC186" s="167">
        <f t="shared" si="139"/>
        <v>0.19539555543852891</v>
      </c>
      <c r="BD186" s="159" t="str">
        <f t="shared" si="121"/>
        <v>Not Cost-Effective</v>
      </c>
      <c r="BE186" s="162" t="s">
        <v>160</v>
      </c>
      <c r="BF186" s="162" t="s">
        <v>174</v>
      </c>
      <c r="BG186" s="168">
        <f t="shared" si="140"/>
        <v>1</v>
      </c>
      <c r="BH186" s="168">
        <f t="shared" si="141"/>
        <v>1</v>
      </c>
      <c r="BI186" s="163">
        <f t="shared" si="142"/>
        <v>1</v>
      </c>
      <c r="BJ186" s="163">
        <f t="shared" si="143"/>
        <v>0</v>
      </c>
      <c r="BK186" s="163">
        <f t="shared" si="122"/>
        <v>1</v>
      </c>
      <c r="BL186" s="163">
        <f t="shared" si="123"/>
        <v>0</v>
      </c>
      <c r="BM186" s="163">
        <f t="shared" si="124"/>
        <v>4</v>
      </c>
      <c r="BN186" s="163" t="s">
        <v>148</v>
      </c>
      <c r="BO186" s="162" t="s">
        <v>177</v>
      </c>
      <c r="BP186" s="162" t="s">
        <v>1421</v>
      </c>
      <c r="BQ186" s="162" t="s">
        <v>1426</v>
      </c>
    </row>
    <row r="187" spans="1:70">
      <c r="A187" s="159">
        <f t="shared" si="113"/>
        <v>54</v>
      </c>
      <c r="B187" s="159">
        <f t="shared" si="114"/>
        <v>12</v>
      </c>
      <c r="C187" s="160" t="str">
        <f t="shared" si="101"/>
        <v>5412</v>
      </c>
      <c r="D187" s="159" t="s">
        <v>81</v>
      </c>
      <c r="E187" s="159">
        <v>2021</v>
      </c>
      <c r="F187" s="162" t="s">
        <v>82</v>
      </c>
      <c r="G187" s="182" t="s">
        <v>602</v>
      </c>
      <c r="H187" s="163" t="str">
        <f t="shared" si="144"/>
        <v>UM</v>
      </c>
      <c r="I187" s="163" t="s">
        <v>148</v>
      </c>
      <c r="J187" s="180" t="s">
        <v>621</v>
      </c>
      <c r="K187" s="163" t="s">
        <v>183</v>
      </c>
      <c r="L187" s="163" t="s">
        <v>151</v>
      </c>
      <c r="M187" s="163" t="str">
        <f t="shared" si="115"/>
        <v>PCV10 vs NoVax</v>
      </c>
      <c r="N187" s="159" t="s">
        <v>152</v>
      </c>
      <c r="O187" s="159">
        <v>3</v>
      </c>
      <c r="P187" s="162" t="s">
        <v>148</v>
      </c>
      <c r="Q187" s="162" t="s">
        <v>609</v>
      </c>
      <c r="R187" s="162" t="s">
        <v>154</v>
      </c>
      <c r="S187" s="162" t="s">
        <v>155</v>
      </c>
      <c r="T187" s="159">
        <v>2019</v>
      </c>
      <c r="U187" s="165">
        <v>17.45</v>
      </c>
      <c r="V187" s="165">
        <f>IF(ISNUMBER(U187),U187/VLOOKUP($S187,xRates!$A$1:$AA$267,data!$T187-xRates!$B$1+2,FALSE),U187)</f>
        <v>17.45</v>
      </c>
      <c r="W187" s="162" t="s">
        <v>612</v>
      </c>
      <c r="Y187" s="165"/>
      <c r="AA187" s="163" t="s">
        <v>157</v>
      </c>
      <c r="AB187" s="162"/>
      <c r="AC187" s="162" t="str">
        <f t="shared" si="160"/>
        <v/>
      </c>
      <c r="AD187" s="163" t="s">
        <v>157</v>
      </c>
      <c r="AE187" s="162" t="str">
        <f t="shared" si="161"/>
        <v/>
      </c>
      <c r="AF187" s="163" t="s">
        <v>148</v>
      </c>
      <c r="AG187" s="163" t="s">
        <v>148</v>
      </c>
      <c r="AH187" s="163" t="s">
        <v>157</v>
      </c>
      <c r="AJ187" s="162"/>
      <c r="AK187" s="162" t="s">
        <v>624</v>
      </c>
      <c r="AL187" s="163" t="s">
        <v>159</v>
      </c>
      <c r="AM187" s="179">
        <v>1248</v>
      </c>
      <c r="AN187" s="179">
        <f t="shared" si="162"/>
        <v>1248</v>
      </c>
      <c r="AO187" s="179">
        <f t="shared" si="145"/>
        <v>4135.2015309999997</v>
      </c>
      <c r="AP187" s="163" t="str">
        <f t="shared" si="128"/>
        <v>Cost-Effective</v>
      </c>
      <c r="AQ187" s="163" t="str">
        <f t="shared" si="102"/>
        <v>Cost-Effective</v>
      </c>
      <c r="AR187" s="167">
        <f t="shared" si="100"/>
        <v>0.30179907572683673</v>
      </c>
      <c r="AS187" s="167">
        <f t="shared" si="134"/>
        <v>0.23</v>
      </c>
      <c r="AT187" s="159" t="str">
        <f t="shared" si="116"/>
        <v>Not Cost-Effective</v>
      </c>
      <c r="AU187" s="167">
        <f t="shared" si="135"/>
        <v>0.16</v>
      </c>
      <c r="AV187" s="162" t="str">
        <f t="shared" si="117"/>
        <v>Not Cost-Effective</v>
      </c>
      <c r="AW187" s="167">
        <f t="shared" si="136"/>
        <v>0.49283550177804297</v>
      </c>
      <c r="AX187" s="159" t="str">
        <f t="shared" si="118"/>
        <v>Cost-Effective</v>
      </c>
      <c r="AY187" s="167">
        <f t="shared" si="137"/>
        <v>0.13024544055948281</v>
      </c>
      <c r="AZ187" s="159" t="str">
        <f t="shared" si="119"/>
        <v>Not Cost-Effective</v>
      </c>
      <c r="BA187" s="167">
        <f t="shared" si="138"/>
        <v>0.47156105582318236</v>
      </c>
      <c r="BB187" s="159" t="str">
        <f t="shared" si="120"/>
        <v>Cost-Effective</v>
      </c>
      <c r="BC187" s="167">
        <f t="shared" si="139"/>
        <v>0.19539555543852891</v>
      </c>
      <c r="BD187" s="159" t="str">
        <f t="shared" si="121"/>
        <v>Not Cost-Effective</v>
      </c>
      <c r="BE187" s="162" t="s">
        <v>160</v>
      </c>
      <c r="BF187" s="162" t="s">
        <v>174</v>
      </c>
      <c r="BG187" s="168">
        <f t="shared" si="140"/>
        <v>1</v>
      </c>
      <c r="BH187" s="168">
        <f t="shared" si="141"/>
        <v>1</v>
      </c>
      <c r="BI187" s="163">
        <f t="shared" si="142"/>
        <v>1</v>
      </c>
      <c r="BJ187" s="163">
        <f t="shared" si="143"/>
        <v>0</v>
      </c>
      <c r="BK187" s="163">
        <f t="shared" si="122"/>
        <v>1</v>
      </c>
      <c r="BL187" s="163">
        <f t="shared" si="123"/>
        <v>0</v>
      </c>
      <c r="BM187" s="163">
        <f t="shared" si="124"/>
        <v>4</v>
      </c>
      <c r="BN187" s="163" t="s">
        <v>148</v>
      </c>
      <c r="BO187" s="162" t="s">
        <v>177</v>
      </c>
      <c r="BP187" s="162" t="s">
        <v>1421</v>
      </c>
      <c r="BQ187" s="162" t="s">
        <v>1426</v>
      </c>
    </row>
    <row r="188" spans="1:70">
      <c r="A188" s="159">
        <f t="shared" si="113"/>
        <v>55</v>
      </c>
      <c r="B188" s="159">
        <f t="shared" si="114"/>
        <v>1</v>
      </c>
      <c r="C188" s="160" t="str">
        <f t="shared" si="101"/>
        <v>5501</v>
      </c>
      <c r="D188" s="159" t="s">
        <v>83</v>
      </c>
      <c r="E188" s="159">
        <v>2021</v>
      </c>
      <c r="F188" s="162" t="s">
        <v>84</v>
      </c>
      <c r="G188" s="182" t="s">
        <v>147</v>
      </c>
      <c r="H188" s="163" t="str">
        <f t="shared" si="144"/>
        <v>UM</v>
      </c>
      <c r="I188" s="163" t="s">
        <v>148</v>
      </c>
      <c r="J188" s="180" t="s">
        <v>625</v>
      </c>
      <c r="K188" s="163" t="s">
        <v>186</v>
      </c>
      <c r="L188" s="163" t="s">
        <v>151</v>
      </c>
      <c r="M188" s="163" t="str">
        <f t="shared" si="115"/>
        <v>PCV13 vs NoVax</v>
      </c>
      <c r="N188" s="159" t="s">
        <v>166</v>
      </c>
      <c r="O188" s="159">
        <v>4</v>
      </c>
      <c r="P188" s="162" t="s">
        <v>148</v>
      </c>
      <c r="Q188" s="162" t="s">
        <v>153</v>
      </c>
      <c r="R188" s="162" t="s">
        <v>154</v>
      </c>
      <c r="S188" s="162" t="s">
        <v>155</v>
      </c>
      <c r="T188" s="159">
        <v>2019</v>
      </c>
      <c r="U188" s="165">
        <v>81</v>
      </c>
      <c r="V188" s="165">
        <f>IF(ISNUMBER(U188),U188/VLOOKUP($S188,xRates!$A$1:$AA$267,data!$T188-xRates!$B$1+2,FALSE),U188)</f>
        <v>81</v>
      </c>
      <c r="W188" s="162" t="s">
        <v>626</v>
      </c>
      <c r="Y188" s="165"/>
      <c r="AA188" s="163" t="s">
        <v>157</v>
      </c>
      <c r="AB188" s="162"/>
      <c r="AC188" s="162" t="str">
        <f t="shared" si="160"/>
        <v/>
      </c>
      <c r="AD188" s="163" t="s">
        <v>157</v>
      </c>
      <c r="AE188" s="162" t="str">
        <f t="shared" si="161"/>
        <v/>
      </c>
      <c r="AF188" s="163" t="s">
        <v>148</v>
      </c>
      <c r="AG188" s="163" t="s">
        <v>148</v>
      </c>
      <c r="AH188" s="163" t="s">
        <v>148</v>
      </c>
      <c r="AJ188" s="162" t="s">
        <v>557</v>
      </c>
      <c r="AK188" s="162" t="s">
        <v>627</v>
      </c>
      <c r="AL188" s="163" t="s">
        <v>159</v>
      </c>
      <c r="AM188" s="179">
        <v>15394</v>
      </c>
      <c r="AN188" s="179">
        <f t="shared" si="162"/>
        <v>15394</v>
      </c>
      <c r="AO188" s="179">
        <f t="shared" si="145"/>
        <v>10143.838170000001</v>
      </c>
      <c r="AP188" s="163" t="str">
        <f t="shared" si="128"/>
        <v>Not Cost-Effective</v>
      </c>
      <c r="AQ188" s="163" t="str">
        <f t="shared" si="102"/>
        <v>Cost-Effective</v>
      </c>
      <c r="AR188" s="167">
        <f t="shared" si="100"/>
        <v>1.5175715288446876</v>
      </c>
      <c r="AS188" s="167">
        <f t="shared" si="134"/>
        <v>0.71</v>
      </c>
      <c r="AT188" s="159" t="str">
        <f t="shared" si="116"/>
        <v>Not Cost-Effective</v>
      </c>
      <c r="AU188" s="167">
        <f t="shared" si="135"/>
        <v>0.45</v>
      </c>
      <c r="AV188" s="162" t="str">
        <f t="shared" si="117"/>
        <v>Not Cost-Effective</v>
      </c>
      <c r="AW188" s="167">
        <f t="shared" si="136"/>
        <v>0.6481168977852142</v>
      </c>
      <c r="AX188" s="159" t="str">
        <f t="shared" si="118"/>
        <v>Not Cost-Effective</v>
      </c>
      <c r="AY188" s="167">
        <f t="shared" si="137"/>
        <v>0.16395220864852342</v>
      </c>
      <c r="AZ188" s="159" t="str">
        <f t="shared" si="119"/>
        <v>Not Cost-Effective</v>
      </c>
      <c r="BA188" s="167">
        <f t="shared" si="138"/>
        <v>0.90271550536772804</v>
      </c>
      <c r="BB188" s="159" t="str">
        <f t="shared" si="120"/>
        <v>Not Cost-Effective</v>
      </c>
      <c r="BC188" s="167">
        <f t="shared" si="139"/>
        <v>0.37411874444365267</v>
      </c>
      <c r="BD188" s="159" t="str">
        <f t="shared" si="121"/>
        <v>Not Cost-Effective</v>
      </c>
      <c r="BE188" s="162" t="s">
        <v>173</v>
      </c>
      <c r="BF188" s="162" t="s">
        <v>174</v>
      </c>
      <c r="BG188" s="168">
        <f t="shared" si="140"/>
        <v>1</v>
      </c>
      <c r="BH188" s="168">
        <f t="shared" si="141"/>
        <v>1</v>
      </c>
      <c r="BI188" s="163">
        <f t="shared" si="142"/>
        <v>1</v>
      </c>
      <c r="BJ188" s="163">
        <f t="shared" si="143"/>
        <v>1</v>
      </c>
      <c r="BK188" s="163">
        <f t="shared" si="122"/>
        <v>1</v>
      </c>
      <c r="BL188" s="163">
        <f t="shared" si="123"/>
        <v>1</v>
      </c>
      <c r="BM188" s="163">
        <f t="shared" si="124"/>
        <v>6</v>
      </c>
      <c r="BN188" s="163" t="s">
        <v>157</v>
      </c>
      <c r="BO188" s="162" t="str">
        <f t="shared" ref="BO188:BO197" si="163">IF(BN188="No", "", "")</f>
        <v/>
      </c>
      <c r="BP188" s="162" t="s">
        <v>1422</v>
      </c>
      <c r="BQ188" s="162" t="s">
        <v>1427</v>
      </c>
    </row>
    <row r="189" spans="1:70">
      <c r="A189" s="159">
        <f t="shared" si="113"/>
        <v>55</v>
      </c>
      <c r="B189" s="159">
        <f t="shared" si="114"/>
        <v>2</v>
      </c>
      <c r="C189" s="160" t="str">
        <f t="shared" si="101"/>
        <v>5502</v>
      </c>
      <c r="D189" s="159" t="s">
        <v>83</v>
      </c>
      <c r="E189" s="159">
        <v>2021</v>
      </c>
      <c r="F189" s="162" t="s">
        <v>84</v>
      </c>
      <c r="G189" s="182" t="s">
        <v>147</v>
      </c>
      <c r="H189" s="163" t="str">
        <f t="shared" si="144"/>
        <v>UM</v>
      </c>
      <c r="I189" s="163" t="s">
        <v>148</v>
      </c>
      <c r="J189" s="180" t="s">
        <v>625</v>
      </c>
      <c r="K189" s="163" t="s">
        <v>186</v>
      </c>
      <c r="L189" s="163" t="s">
        <v>151</v>
      </c>
      <c r="M189" s="163" t="str">
        <f t="shared" si="115"/>
        <v>PCV13 vs NoVax</v>
      </c>
      <c r="N189" s="159" t="s">
        <v>331</v>
      </c>
      <c r="O189" s="159">
        <v>3</v>
      </c>
      <c r="P189" s="162" t="s">
        <v>148</v>
      </c>
      <c r="Q189" s="162" t="s">
        <v>153</v>
      </c>
      <c r="R189" s="162" t="s">
        <v>154</v>
      </c>
      <c r="S189" s="162" t="s">
        <v>155</v>
      </c>
      <c r="T189" s="159">
        <v>2019</v>
      </c>
      <c r="U189" s="165">
        <v>81</v>
      </c>
      <c r="V189" s="165">
        <f>IF(ISNUMBER(U189),U189/VLOOKUP($S189,xRates!$A$1:$AA$267,data!$T189-xRates!$B$1+2,FALSE),U189)</f>
        <v>81</v>
      </c>
      <c r="W189" s="162" t="s">
        <v>626</v>
      </c>
      <c r="Y189" s="165"/>
      <c r="AA189" s="163" t="s">
        <v>157</v>
      </c>
      <c r="AB189" s="162"/>
      <c r="AC189" s="162" t="str">
        <f t="shared" si="160"/>
        <v/>
      </c>
      <c r="AD189" s="163" t="s">
        <v>157</v>
      </c>
      <c r="AE189" s="162" t="str">
        <f t="shared" si="161"/>
        <v/>
      </c>
      <c r="AF189" s="163" t="s">
        <v>148</v>
      </c>
      <c r="AG189" s="163" t="s">
        <v>148</v>
      </c>
      <c r="AH189" s="163" t="s">
        <v>148</v>
      </c>
      <c r="AJ189" s="162" t="s">
        <v>557</v>
      </c>
      <c r="AK189" s="162" t="s">
        <v>628</v>
      </c>
      <c r="AL189" s="163" t="s">
        <v>159</v>
      </c>
      <c r="AM189" s="179">
        <v>2292</v>
      </c>
      <c r="AN189" s="179">
        <f t="shared" si="162"/>
        <v>2292</v>
      </c>
      <c r="AO189" s="179">
        <f t="shared" si="145"/>
        <v>10143.838170000001</v>
      </c>
      <c r="AP189" s="163" t="str">
        <f t="shared" si="128"/>
        <v>Cost-Effective</v>
      </c>
      <c r="AQ189" s="163" t="str">
        <f t="shared" si="102"/>
        <v>Cost-Effective</v>
      </c>
      <c r="AR189" s="167">
        <f t="shared" si="100"/>
        <v>0.22594997688138393</v>
      </c>
      <c r="AS189" s="167">
        <f t="shared" si="134"/>
        <v>0.71</v>
      </c>
      <c r="AT189" s="159" t="str">
        <f t="shared" si="116"/>
        <v>Cost-Effective</v>
      </c>
      <c r="AU189" s="167">
        <f t="shared" si="135"/>
        <v>0.45</v>
      </c>
      <c r="AV189" s="162" t="str">
        <f t="shared" si="117"/>
        <v>Cost-Effective</v>
      </c>
      <c r="AW189" s="167">
        <f t="shared" si="136"/>
        <v>0.6481168977852142</v>
      </c>
      <c r="AX189" s="159" t="str">
        <f t="shared" si="118"/>
        <v>Cost-Effective</v>
      </c>
      <c r="AY189" s="167">
        <f t="shared" si="137"/>
        <v>0.16395220864852342</v>
      </c>
      <c r="AZ189" s="159" t="str">
        <f t="shared" si="119"/>
        <v>Not Cost-Effective</v>
      </c>
      <c r="BA189" s="167">
        <f t="shared" si="138"/>
        <v>0.90271550536772804</v>
      </c>
      <c r="BB189" s="159" t="str">
        <f t="shared" si="120"/>
        <v>Cost-Effective</v>
      </c>
      <c r="BC189" s="167">
        <f t="shared" si="139"/>
        <v>0.37411874444365267</v>
      </c>
      <c r="BD189" s="159" t="str">
        <f t="shared" si="121"/>
        <v>Cost-Effective</v>
      </c>
      <c r="BE189" s="162" t="s">
        <v>173</v>
      </c>
      <c r="BF189" s="162" t="s">
        <v>174</v>
      </c>
      <c r="BG189" s="168">
        <f t="shared" si="140"/>
        <v>0</v>
      </c>
      <c r="BH189" s="168">
        <f t="shared" si="141"/>
        <v>0</v>
      </c>
      <c r="BI189" s="163">
        <f t="shared" si="142"/>
        <v>1</v>
      </c>
      <c r="BJ189" s="163">
        <f t="shared" si="143"/>
        <v>0</v>
      </c>
      <c r="BK189" s="163">
        <f t="shared" si="122"/>
        <v>0</v>
      </c>
      <c r="BL189" s="163">
        <f t="shared" si="123"/>
        <v>0</v>
      </c>
      <c r="BM189" s="163">
        <f t="shared" si="124"/>
        <v>1</v>
      </c>
      <c r="BN189" s="163" t="s">
        <v>157</v>
      </c>
      <c r="BO189" s="162" t="str">
        <f t="shared" si="163"/>
        <v/>
      </c>
      <c r="BP189" s="162" t="s">
        <v>1422</v>
      </c>
      <c r="BQ189" s="162" t="s">
        <v>1427</v>
      </c>
    </row>
    <row r="190" spans="1:70">
      <c r="A190" s="159">
        <f t="shared" si="113"/>
        <v>55</v>
      </c>
      <c r="B190" s="159">
        <f t="shared" si="114"/>
        <v>3</v>
      </c>
      <c r="C190" s="160" t="str">
        <f t="shared" si="101"/>
        <v>5503</v>
      </c>
      <c r="D190" s="159" t="s">
        <v>83</v>
      </c>
      <c r="E190" s="159">
        <v>2021</v>
      </c>
      <c r="F190" s="162" t="s">
        <v>84</v>
      </c>
      <c r="G190" s="182" t="s">
        <v>147</v>
      </c>
      <c r="H190" s="163" t="str">
        <f t="shared" si="144"/>
        <v>UM</v>
      </c>
      <c r="I190" s="163" t="s">
        <v>148</v>
      </c>
      <c r="J190" s="180" t="s">
        <v>625</v>
      </c>
      <c r="K190" s="163" t="s">
        <v>186</v>
      </c>
      <c r="L190" s="163" t="s">
        <v>151</v>
      </c>
      <c r="M190" s="163" t="str">
        <f t="shared" si="115"/>
        <v>PCV13 vs NoVax</v>
      </c>
      <c r="N190" s="159" t="s">
        <v>383</v>
      </c>
      <c r="O190" s="159">
        <v>2</v>
      </c>
      <c r="P190" s="162" t="s">
        <v>148</v>
      </c>
      <c r="Q190" s="162" t="s">
        <v>153</v>
      </c>
      <c r="R190" s="162" t="s">
        <v>154</v>
      </c>
      <c r="S190" s="162" t="s">
        <v>155</v>
      </c>
      <c r="T190" s="159">
        <v>2019</v>
      </c>
      <c r="U190" s="165">
        <v>81</v>
      </c>
      <c r="V190" s="165">
        <f>IF(ISNUMBER(U190),U190/VLOOKUP($S190,xRates!$A$1:$AA$267,data!$T190-xRates!$B$1+2,FALSE),U190)</f>
        <v>81</v>
      </c>
      <c r="W190" s="162" t="s">
        <v>626</v>
      </c>
      <c r="Y190" s="165"/>
      <c r="AA190" s="163" t="s">
        <v>157</v>
      </c>
      <c r="AB190" s="162"/>
      <c r="AC190" s="162" t="str">
        <f t="shared" si="160"/>
        <v/>
      </c>
      <c r="AD190" s="163" t="s">
        <v>157</v>
      </c>
      <c r="AE190" s="162" t="str">
        <f t="shared" si="161"/>
        <v/>
      </c>
      <c r="AF190" s="163" t="s">
        <v>148</v>
      </c>
      <c r="AG190" s="163" t="s">
        <v>148</v>
      </c>
      <c r="AH190" s="163" t="s">
        <v>148</v>
      </c>
      <c r="AJ190" s="162" t="s">
        <v>557</v>
      </c>
      <c r="AK190" s="162" t="s">
        <v>629</v>
      </c>
      <c r="AL190" s="163" t="s">
        <v>159</v>
      </c>
      <c r="AM190" s="179">
        <v>3445</v>
      </c>
      <c r="AN190" s="179">
        <f t="shared" si="162"/>
        <v>3445</v>
      </c>
      <c r="AO190" s="179">
        <f t="shared" si="145"/>
        <v>10143.838170000001</v>
      </c>
      <c r="AP190" s="163" t="str">
        <f t="shared" si="128"/>
        <v>Cost-Effective</v>
      </c>
      <c r="AQ190" s="163" t="str">
        <f t="shared" si="102"/>
        <v>Cost-Effective</v>
      </c>
      <c r="AR190" s="167">
        <f t="shared" si="100"/>
        <v>0.33961503942249893</v>
      </c>
      <c r="AS190" s="167">
        <f t="shared" si="134"/>
        <v>0.71</v>
      </c>
      <c r="AT190" s="159" t="str">
        <f t="shared" si="116"/>
        <v>Cost-Effective</v>
      </c>
      <c r="AU190" s="167">
        <f t="shared" si="135"/>
        <v>0.45</v>
      </c>
      <c r="AV190" s="162" t="str">
        <f t="shared" si="117"/>
        <v>Cost-Effective</v>
      </c>
      <c r="AW190" s="167">
        <f t="shared" si="136"/>
        <v>0.6481168977852142</v>
      </c>
      <c r="AX190" s="159" t="str">
        <f t="shared" si="118"/>
        <v>Cost-Effective</v>
      </c>
      <c r="AY190" s="167">
        <f t="shared" si="137"/>
        <v>0.16395220864852342</v>
      </c>
      <c r="AZ190" s="159" t="str">
        <f t="shared" si="119"/>
        <v>Not Cost-Effective</v>
      </c>
      <c r="BA190" s="167">
        <f t="shared" si="138"/>
        <v>0.90271550536772804</v>
      </c>
      <c r="BB190" s="159" t="str">
        <f t="shared" si="120"/>
        <v>Cost-Effective</v>
      </c>
      <c r="BC190" s="167">
        <f t="shared" si="139"/>
        <v>0.37411874444365267</v>
      </c>
      <c r="BD190" s="159" t="str">
        <f t="shared" si="121"/>
        <v>Cost-Effective</v>
      </c>
      <c r="BE190" s="162" t="s">
        <v>173</v>
      </c>
      <c r="BF190" s="162" t="s">
        <v>174</v>
      </c>
      <c r="BG190" s="168">
        <f t="shared" si="140"/>
        <v>0</v>
      </c>
      <c r="BH190" s="168">
        <f t="shared" si="141"/>
        <v>0</v>
      </c>
      <c r="BI190" s="163">
        <f t="shared" si="142"/>
        <v>1</v>
      </c>
      <c r="BJ190" s="163">
        <f t="shared" si="143"/>
        <v>0</v>
      </c>
      <c r="BK190" s="163">
        <f t="shared" si="122"/>
        <v>0</v>
      </c>
      <c r="BL190" s="163">
        <f t="shared" si="123"/>
        <v>0</v>
      </c>
      <c r="BM190" s="163">
        <f t="shared" si="124"/>
        <v>1</v>
      </c>
      <c r="BN190" s="163" t="s">
        <v>157</v>
      </c>
      <c r="BO190" s="162" t="str">
        <f t="shared" si="163"/>
        <v/>
      </c>
      <c r="BP190" s="162" t="s">
        <v>1422</v>
      </c>
      <c r="BQ190" s="162" t="s">
        <v>1427</v>
      </c>
    </row>
    <row r="191" spans="1:70">
      <c r="A191" s="159">
        <f t="shared" si="113"/>
        <v>55</v>
      </c>
      <c r="B191" s="159">
        <f t="shared" si="114"/>
        <v>4</v>
      </c>
      <c r="C191" s="160" t="str">
        <f t="shared" si="101"/>
        <v>5504</v>
      </c>
      <c r="D191" s="159" t="s">
        <v>83</v>
      </c>
      <c r="E191" s="159">
        <v>2021</v>
      </c>
      <c r="F191" s="162" t="s">
        <v>84</v>
      </c>
      <c r="G191" s="182" t="s">
        <v>147</v>
      </c>
      <c r="H191" s="163" t="str">
        <f t="shared" si="144"/>
        <v>UM</v>
      </c>
      <c r="I191" s="163" t="s">
        <v>148</v>
      </c>
      <c r="J191" s="180" t="s">
        <v>625</v>
      </c>
      <c r="K191" s="163" t="s">
        <v>186</v>
      </c>
      <c r="L191" s="163" t="s">
        <v>151</v>
      </c>
      <c r="M191" s="163" t="str">
        <f t="shared" si="115"/>
        <v>PCV13 vs NoVax</v>
      </c>
      <c r="N191" s="159" t="s">
        <v>392</v>
      </c>
      <c r="O191" s="159">
        <v>1</v>
      </c>
      <c r="P191" s="162" t="s">
        <v>148</v>
      </c>
      <c r="Q191" s="162" t="s">
        <v>153</v>
      </c>
      <c r="R191" s="162" t="s">
        <v>154</v>
      </c>
      <c r="S191" s="162" t="s">
        <v>155</v>
      </c>
      <c r="T191" s="159">
        <v>2019</v>
      </c>
      <c r="U191" s="165">
        <v>81</v>
      </c>
      <c r="V191" s="165">
        <f>IF(ISNUMBER(U191),U191/VLOOKUP($S191,xRates!$A$1:$AA$267,data!$T191-xRates!$B$1+2,FALSE),U191)</f>
        <v>81</v>
      </c>
      <c r="W191" s="162" t="s">
        <v>626</v>
      </c>
      <c r="Y191" s="165"/>
      <c r="AA191" s="163" t="s">
        <v>157</v>
      </c>
      <c r="AB191" s="162"/>
      <c r="AC191" s="162" t="str">
        <f t="shared" si="160"/>
        <v/>
      </c>
      <c r="AD191" s="163" t="s">
        <v>157</v>
      </c>
      <c r="AE191" s="162" t="str">
        <f t="shared" si="161"/>
        <v/>
      </c>
      <c r="AF191" s="163" t="s">
        <v>148</v>
      </c>
      <c r="AG191" s="163" t="s">
        <v>148</v>
      </c>
      <c r="AH191" s="163" t="s">
        <v>148</v>
      </c>
      <c r="AJ191" s="162" t="s">
        <v>557</v>
      </c>
      <c r="AK191" s="162" t="s">
        <v>630</v>
      </c>
      <c r="AL191" s="163" t="s">
        <v>159</v>
      </c>
      <c r="AM191" s="179">
        <v>4417</v>
      </c>
      <c r="AN191" s="179">
        <f t="shared" si="162"/>
        <v>4417</v>
      </c>
      <c r="AO191" s="179">
        <f t="shared" si="145"/>
        <v>10143.838170000001</v>
      </c>
      <c r="AP191" s="163" t="str">
        <f t="shared" si="128"/>
        <v>Cost-Effective</v>
      </c>
      <c r="AQ191" s="163" t="str">
        <f t="shared" si="102"/>
        <v>Cost-Effective</v>
      </c>
      <c r="AR191" s="167">
        <f t="shared" si="100"/>
        <v>0.43543675736696019</v>
      </c>
      <c r="AS191" s="167">
        <f t="shared" si="134"/>
        <v>0.71</v>
      </c>
      <c r="AT191" s="159" t="str">
        <f t="shared" si="116"/>
        <v>Cost-Effective</v>
      </c>
      <c r="AU191" s="167">
        <f t="shared" si="135"/>
        <v>0.45</v>
      </c>
      <c r="AV191" s="162" t="str">
        <f t="shared" si="117"/>
        <v>Cost-Effective</v>
      </c>
      <c r="AW191" s="167">
        <f t="shared" si="136"/>
        <v>0.6481168977852142</v>
      </c>
      <c r="AX191" s="159" t="str">
        <f t="shared" si="118"/>
        <v>Cost-Effective</v>
      </c>
      <c r="AY191" s="167">
        <f t="shared" si="137"/>
        <v>0.16395220864852342</v>
      </c>
      <c r="AZ191" s="159" t="str">
        <f t="shared" si="119"/>
        <v>Not Cost-Effective</v>
      </c>
      <c r="BA191" s="167">
        <f t="shared" si="138"/>
        <v>0.90271550536772804</v>
      </c>
      <c r="BB191" s="159" t="str">
        <f t="shared" si="120"/>
        <v>Cost-Effective</v>
      </c>
      <c r="BC191" s="167">
        <f t="shared" si="139"/>
        <v>0.37411874444365267</v>
      </c>
      <c r="BD191" s="159" t="str">
        <f t="shared" si="121"/>
        <v>Not Cost-Effective</v>
      </c>
      <c r="BE191" s="162" t="s">
        <v>173</v>
      </c>
      <c r="BF191" s="162" t="s">
        <v>174</v>
      </c>
      <c r="BG191" s="168">
        <f t="shared" si="140"/>
        <v>0</v>
      </c>
      <c r="BH191" s="168">
        <f t="shared" si="141"/>
        <v>0</v>
      </c>
      <c r="BI191" s="163">
        <f t="shared" si="142"/>
        <v>1</v>
      </c>
      <c r="BJ191" s="163">
        <f t="shared" si="143"/>
        <v>0</v>
      </c>
      <c r="BK191" s="163">
        <f t="shared" si="122"/>
        <v>1</v>
      </c>
      <c r="BL191" s="163">
        <f t="shared" si="123"/>
        <v>0</v>
      </c>
      <c r="BM191" s="163">
        <f t="shared" si="124"/>
        <v>2</v>
      </c>
      <c r="BN191" s="163" t="s">
        <v>157</v>
      </c>
      <c r="BO191" s="162" t="str">
        <f t="shared" si="163"/>
        <v/>
      </c>
      <c r="BP191" s="162" t="s">
        <v>1422</v>
      </c>
      <c r="BQ191" s="162" t="s">
        <v>1427</v>
      </c>
    </row>
    <row r="192" spans="1:70">
      <c r="A192" s="159">
        <f t="shared" si="113"/>
        <v>56</v>
      </c>
      <c r="B192" s="159">
        <f t="shared" si="114"/>
        <v>1</v>
      </c>
      <c r="C192" s="160" t="str">
        <f t="shared" si="101"/>
        <v>5601</v>
      </c>
      <c r="D192" s="159" t="s">
        <v>631</v>
      </c>
      <c r="E192" s="159">
        <v>2020</v>
      </c>
      <c r="F192" s="162" t="s">
        <v>632</v>
      </c>
      <c r="G192" s="162" t="s">
        <v>214</v>
      </c>
      <c r="H192" s="163" t="str">
        <f t="shared" si="144"/>
        <v>UM</v>
      </c>
      <c r="I192" s="163" t="s">
        <v>148</v>
      </c>
      <c r="J192" s="162" t="s">
        <v>371</v>
      </c>
      <c r="K192" s="163" t="s">
        <v>186</v>
      </c>
      <c r="L192" s="163" t="s">
        <v>183</v>
      </c>
      <c r="M192" s="163" t="str">
        <f t="shared" si="115"/>
        <v>PCV13 vs PCV10</v>
      </c>
      <c r="N192" s="159" t="s">
        <v>152</v>
      </c>
      <c r="O192" s="159">
        <v>3</v>
      </c>
      <c r="P192" s="162" t="s">
        <v>148</v>
      </c>
      <c r="Q192" s="162" t="s">
        <v>153</v>
      </c>
      <c r="R192" s="162" t="s">
        <v>154</v>
      </c>
      <c r="S192" s="162" t="s">
        <v>155</v>
      </c>
      <c r="T192" s="159">
        <v>2018</v>
      </c>
      <c r="U192" s="159" t="s">
        <v>178</v>
      </c>
      <c r="V192" s="159" t="s">
        <v>178</v>
      </c>
      <c r="W192" s="162" t="s">
        <v>177</v>
      </c>
      <c r="X192" s="162" t="s">
        <v>178</v>
      </c>
      <c r="Y192" s="165" t="s">
        <v>178</v>
      </c>
      <c r="Z192" s="162" t="s">
        <v>457</v>
      </c>
      <c r="AA192" s="163" t="s">
        <v>148</v>
      </c>
      <c r="AB192" s="162" t="s">
        <v>217</v>
      </c>
      <c r="AC192" s="162" t="s">
        <v>148</v>
      </c>
      <c r="AD192" s="163" t="s">
        <v>157</v>
      </c>
      <c r="AE192" s="162" t="str">
        <f t="shared" si="161"/>
        <v/>
      </c>
      <c r="AF192" s="163" t="s">
        <v>148</v>
      </c>
      <c r="AG192" s="163" t="s">
        <v>148</v>
      </c>
      <c r="AH192" s="163" t="s">
        <v>148</v>
      </c>
      <c r="AJ192" s="162"/>
      <c r="AK192" s="162" t="s">
        <v>633</v>
      </c>
      <c r="AL192" s="163" t="s">
        <v>159</v>
      </c>
      <c r="AM192" s="179">
        <f>-89904777/2280</f>
        <v>-39431.919736842108</v>
      </c>
      <c r="AN192" s="179">
        <f t="shared" si="162"/>
        <v>-39431.919736842108</v>
      </c>
      <c r="AO192" s="179">
        <f t="shared" ref="AO192" si="164">VLOOKUP(G192,gdppc,T192-1958,FALSE)</f>
        <v>11380.08209</v>
      </c>
      <c r="AP192" s="163" t="str">
        <f t="shared" si="128"/>
        <v>Cost-Saving</v>
      </c>
      <c r="AQ192" s="163" t="str">
        <f t="shared" si="102"/>
        <v>Cost-Saving</v>
      </c>
      <c r="AR192" s="167">
        <f t="shared" si="100"/>
        <v>-3.4649943141879489</v>
      </c>
      <c r="AS192" s="167">
        <f t="shared" si="134"/>
        <v>0.75</v>
      </c>
      <c r="AT192" s="159" t="str">
        <f t="shared" si="116"/>
        <v>Cost-Saving</v>
      </c>
      <c r="AU192" s="167">
        <f t="shared" si="135"/>
        <v>0.45</v>
      </c>
      <c r="AV192" s="162" t="str">
        <f t="shared" si="117"/>
        <v>Cost-Saving</v>
      </c>
      <c r="AW192" s="167">
        <f t="shared" si="136"/>
        <v>0.56444312933505247</v>
      </c>
      <c r="AX192" s="159" t="str">
        <f t="shared" si="118"/>
        <v>Cost-Saving</v>
      </c>
      <c r="AY192" s="167">
        <f t="shared" si="137"/>
        <v>0.31731694657870113</v>
      </c>
      <c r="AZ192" s="159" t="str">
        <f t="shared" si="119"/>
        <v>Cost-Saving</v>
      </c>
      <c r="BA192" s="167">
        <f t="shared" ref="BA192:BA197" si="165">IFERROR(VLOOKUP(G192,riviere,8,FALSE),".")</f>
        <v>0.6686887394303227</v>
      </c>
      <c r="BB192" s="159" t="str">
        <f t="shared" si="120"/>
        <v>Cost-Saving</v>
      </c>
      <c r="BC192" s="167">
        <f t="shared" ref="BC192:BC197" si="166">IFERROR(VLOOKUP(G192,riviere,7,FALSE),".")</f>
        <v>0.2771843839443679</v>
      </c>
      <c r="BD192" s="159" t="str">
        <f t="shared" si="121"/>
        <v>Cost-Saving</v>
      </c>
      <c r="BE192" s="162" t="s">
        <v>173</v>
      </c>
      <c r="BF192" s="162" t="s">
        <v>174</v>
      </c>
      <c r="BG192" s="168">
        <f t="shared" ref="BG192:BG197" si="167">IF(BF192="Cost-Effective",IF(AV192="Not Cost-Effective",1,0),".")</f>
        <v>0</v>
      </c>
      <c r="BH192" s="168">
        <f t="shared" ref="BH192:BH197" si="168">IF(BF192="Cost-Effective",IF(AT192="Not Cost-Effective",1,0),".")</f>
        <v>0</v>
      </c>
      <c r="BI192" s="163">
        <f t="shared" ref="BI192:BI197" si="169">IF(BF192="Cost-Effective",IF(AZ192="Not Cost-Effective",1,0),".")</f>
        <v>0</v>
      </c>
      <c r="BJ192" s="163">
        <f t="shared" ref="BJ192:BJ197" si="170">IF(BF192="Cost-Effective",IF(AX192="Not Cost-Effective",1,0),".")</f>
        <v>0</v>
      </c>
      <c r="BK192" s="163">
        <f t="shared" si="122"/>
        <v>0</v>
      </c>
      <c r="BL192" s="163">
        <f t="shared" si="123"/>
        <v>0</v>
      </c>
      <c r="BM192" s="163">
        <f t="shared" si="124"/>
        <v>0</v>
      </c>
      <c r="BN192" s="163" t="s">
        <v>157</v>
      </c>
      <c r="BO192" s="162" t="str">
        <f t="shared" si="163"/>
        <v/>
      </c>
      <c r="BP192" s="162" t="s">
        <v>279</v>
      </c>
      <c r="BQ192" s="162" t="s">
        <v>1425</v>
      </c>
      <c r="BR192" s="162" t="s">
        <v>634</v>
      </c>
    </row>
    <row r="193" spans="1:70">
      <c r="A193" s="159">
        <f t="shared" si="113"/>
        <v>56</v>
      </c>
      <c r="B193" s="159">
        <f t="shared" si="114"/>
        <v>2</v>
      </c>
      <c r="C193" s="160" t="str">
        <f t="shared" si="101"/>
        <v>5602</v>
      </c>
      <c r="D193" s="159" t="s">
        <v>631</v>
      </c>
      <c r="E193" s="159">
        <v>2020</v>
      </c>
      <c r="F193" s="162" t="s">
        <v>632</v>
      </c>
      <c r="G193" s="162" t="s">
        <v>214</v>
      </c>
      <c r="H193" s="163" t="str">
        <f t="shared" si="144"/>
        <v>UM</v>
      </c>
      <c r="I193" s="163" t="s">
        <v>148</v>
      </c>
      <c r="J193" s="162" t="s">
        <v>353</v>
      </c>
      <c r="K193" s="163" t="s">
        <v>186</v>
      </c>
      <c r="L193" s="163" t="s">
        <v>151</v>
      </c>
      <c r="M193" s="163" t="str">
        <f t="shared" si="115"/>
        <v>PCV13 vs NoVax</v>
      </c>
      <c r="N193" s="159" t="s">
        <v>152</v>
      </c>
      <c r="O193" s="159">
        <v>3</v>
      </c>
      <c r="P193" s="162" t="s">
        <v>148</v>
      </c>
      <c r="Q193" s="162" t="s">
        <v>153</v>
      </c>
      <c r="R193" s="162" t="s">
        <v>154</v>
      </c>
      <c r="S193" s="162" t="s">
        <v>155</v>
      </c>
      <c r="T193" s="159">
        <v>2018</v>
      </c>
      <c r="U193" s="159" t="s">
        <v>178</v>
      </c>
      <c r="V193" s="159" t="s">
        <v>178</v>
      </c>
      <c r="W193" s="162" t="s">
        <v>177</v>
      </c>
      <c r="Y193" s="165"/>
      <c r="AA193" s="163" t="s">
        <v>148</v>
      </c>
      <c r="AB193" s="162" t="s">
        <v>217</v>
      </c>
      <c r="AC193" s="162" t="s">
        <v>148</v>
      </c>
      <c r="AD193" s="163" t="s">
        <v>157</v>
      </c>
      <c r="AE193" s="162" t="str">
        <f t="shared" si="161"/>
        <v/>
      </c>
      <c r="AF193" s="163" t="s">
        <v>148</v>
      </c>
      <c r="AG193" s="163" t="s">
        <v>148</v>
      </c>
      <c r="AH193" s="163" t="s">
        <v>148</v>
      </c>
      <c r="AJ193" s="162"/>
      <c r="AK193" s="162" t="s">
        <v>635</v>
      </c>
      <c r="AL193" s="163" t="s">
        <v>159</v>
      </c>
      <c r="AM193" s="179">
        <f>-448382729/6008</f>
        <v>-74630.946904127835</v>
      </c>
      <c r="AN193" s="179">
        <f t="shared" ref="AN193" si="171">AM193</f>
        <v>-74630.946904127835</v>
      </c>
      <c r="AO193" s="179">
        <f t="shared" ref="AO193" si="172">VLOOKUP(G193,gdppc,T193-1958,FALSE)</f>
        <v>11380.08209</v>
      </c>
      <c r="AP193" s="163" t="str">
        <f t="shared" si="128"/>
        <v>Cost-Saving</v>
      </c>
      <c r="AQ193" s="163" t="str">
        <f t="shared" si="102"/>
        <v>Cost-Saving</v>
      </c>
      <c r="AR193" s="167">
        <f t="shared" ref="AR193:AR197" si="173">IFERROR(AN193/AO193,".")</f>
        <v>-6.5580323862257686</v>
      </c>
      <c r="AS193" s="167">
        <f t="shared" si="134"/>
        <v>0.75</v>
      </c>
      <c r="AT193" s="159" t="str">
        <f t="shared" si="116"/>
        <v>Cost-Saving</v>
      </c>
      <c r="AU193" s="167">
        <f t="shared" si="135"/>
        <v>0.45</v>
      </c>
      <c r="AV193" s="162" t="str">
        <f t="shared" si="117"/>
        <v>Cost-Saving</v>
      </c>
      <c r="AW193" s="167">
        <f t="shared" si="136"/>
        <v>0.56444312933505247</v>
      </c>
      <c r="AX193" s="159" t="str">
        <f t="shared" si="118"/>
        <v>Cost-Saving</v>
      </c>
      <c r="AY193" s="167">
        <f t="shared" si="137"/>
        <v>0.31731694657870113</v>
      </c>
      <c r="AZ193" s="159" t="str">
        <f t="shared" si="119"/>
        <v>Cost-Saving</v>
      </c>
      <c r="BA193" s="167">
        <f t="shared" si="165"/>
        <v>0.6686887394303227</v>
      </c>
      <c r="BB193" s="159" t="str">
        <f t="shared" ref="BB193:BB197" si="174">IF(AR193&lt;0,"Cost-Saving", IF(BA193=".", ".", IF(AR193&lt;BA193, "Cost-Effective", "Not Cost-Effective")))</f>
        <v>Cost-Saving</v>
      </c>
      <c r="BC193" s="167">
        <f t="shared" si="166"/>
        <v>0.2771843839443679</v>
      </c>
      <c r="BD193" s="159" t="str">
        <f t="shared" ref="BD193:BD197" si="175">IF(AR193&lt;0,"Cost-Saving", IF(BC193=".", ".", IF(AR193&lt;BC193, "Cost-Effective", "Not Cost-Effective")))</f>
        <v>Cost-Saving</v>
      </c>
      <c r="BE193" s="162" t="s">
        <v>173</v>
      </c>
      <c r="BF193" s="162" t="s">
        <v>174</v>
      </c>
      <c r="BG193" s="168">
        <f t="shared" si="167"/>
        <v>0</v>
      </c>
      <c r="BH193" s="168">
        <f t="shared" si="168"/>
        <v>0</v>
      </c>
      <c r="BI193" s="163">
        <f t="shared" si="169"/>
        <v>0</v>
      </c>
      <c r="BJ193" s="163">
        <f t="shared" si="170"/>
        <v>0</v>
      </c>
      <c r="BK193" s="163">
        <f t="shared" ref="BK193:BK197" si="176">IF(BF193="Cost-Effective",IF(BD193="Not Cost-Effective",1,0),".")</f>
        <v>0</v>
      </c>
      <c r="BL193" s="163">
        <f t="shared" ref="BL193:BL197" si="177">IF(BF193="Cost-Effective",IF(BB193="Not Cost-Effective",1,0),".")</f>
        <v>0</v>
      </c>
      <c r="BM193" s="163">
        <f t="shared" ref="BM193:BM197" si="178">SUM(BG193:BL193)</f>
        <v>0</v>
      </c>
      <c r="BN193" s="163" t="s">
        <v>157</v>
      </c>
      <c r="BO193" s="162" t="str">
        <f t="shared" si="163"/>
        <v/>
      </c>
      <c r="BP193" s="162" t="s">
        <v>279</v>
      </c>
      <c r="BQ193" s="162" t="s">
        <v>1425</v>
      </c>
    </row>
    <row r="194" spans="1:70">
      <c r="A194" s="159">
        <f t="shared" si="113"/>
        <v>56</v>
      </c>
      <c r="B194" s="159">
        <f t="shared" si="114"/>
        <v>3</v>
      </c>
      <c r="C194" s="160" t="str">
        <f t="shared" ref="C194:C197" si="179">_xlfn.CONCAT(TEXT(A194,"00"),TEXT(B194,"00"))</f>
        <v>5603</v>
      </c>
      <c r="D194" s="159" t="s">
        <v>631</v>
      </c>
      <c r="E194" s="159">
        <v>2020</v>
      </c>
      <c r="F194" s="162" t="s">
        <v>632</v>
      </c>
      <c r="G194" s="162" t="s">
        <v>214</v>
      </c>
      <c r="H194" s="163" t="str">
        <f t="shared" si="144"/>
        <v>UM</v>
      </c>
      <c r="I194" s="163" t="s">
        <v>148</v>
      </c>
      <c r="J194" s="162" t="s">
        <v>371</v>
      </c>
      <c r="K194" s="163" t="s">
        <v>186</v>
      </c>
      <c r="L194" s="163" t="s">
        <v>183</v>
      </c>
      <c r="M194" s="163" t="str">
        <f t="shared" si="115"/>
        <v>PCV13 vs PCV10</v>
      </c>
      <c r="N194" s="159" t="s">
        <v>152</v>
      </c>
      <c r="O194" s="159">
        <v>3</v>
      </c>
      <c r="P194" s="162" t="s">
        <v>157</v>
      </c>
      <c r="Q194" s="162" t="s">
        <v>609</v>
      </c>
      <c r="R194" s="162" t="s">
        <v>154</v>
      </c>
      <c r="S194" s="162" t="s">
        <v>155</v>
      </c>
      <c r="T194" s="159">
        <v>2018</v>
      </c>
      <c r="U194" s="159" t="s">
        <v>178</v>
      </c>
      <c r="V194" s="159" t="s">
        <v>178</v>
      </c>
      <c r="W194" s="162" t="s">
        <v>177</v>
      </c>
      <c r="Y194" s="165"/>
      <c r="AA194" s="163" t="s">
        <v>148</v>
      </c>
      <c r="AB194" s="162" t="s">
        <v>217</v>
      </c>
      <c r="AC194" s="162" t="s">
        <v>148</v>
      </c>
      <c r="AD194" s="163" t="s">
        <v>157</v>
      </c>
      <c r="AE194" s="162" t="str">
        <f t="shared" si="161"/>
        <v/>
      </c>
      <c r="AF194" s="163" t="s">
        <v>148</v>
      </c>
      <c r="AG194" s="163" t="s">
        <v>148</v>
      </c>
      <c r="AH194" s="163" t="s">
        <v>148</v>
      </c>
      <c r="AJ194" s="162"/>
      <c r="AK194" s="162" t="s">
        <v>636</v>
      </c>
      <c r="AL194" s="163" t="s">
        <v>159</v>
      </c>
      <c r="AM194" s="179">
        <f>-60501015/2280</f>
        <v>-26535.532894736843</v>
      </c>
      <c r="AN194" s="179">
        <f t="shared" ref="AN194:AN196" si="180">AM194</f>
        <v>-26535.532894736843</v>
      </c>
      <c r="AO194" s="179">
        <f t="shared" ref="AO194:AO195" si="181">VLOOKUP(G194,gdppc,T194-1958,FALSE)</f>
        <v>11380.08209</v>
      </c>
      <c r="AP194" s="163" t="str">
        <f t="shared" si="128"/>
        <v>Cost-Saving</v>
      </c>
      <c r="AQ194" s="163" t="str">
        <f t="shared" ref="AQ194" si="182">IF(AN194="NA", ".", IF(AN194&lt;0,"Cost-Saving",IF(AN194&lt;=AO194*3,"Cost-Effective",IF(AN194&gt;AO194*3&amp;AN194&lt;&gt;"NA","Not Cost-Effective","Missing"))))</f>
        <v>Cost-Saving</v>
      </c>
      <c r="AR194" s="167">
        <f t="shared" si="173"/>
        <v>-2.3317523269937013</v>
      </c>
      <c r="AS194" s="167">
        <f t="shared" si="134"/>
        <v>0.75</v>
      </c>
      <c r="AT194" s="159" t="str">
        <f t="shared" si="116"/>
        <v>Cost-Saving</v>
      </c>
      <c r="AU194" s="167">
        <f t="shared" si="135"/>
        <v>0.45</v>
      </c>
      <c r="AV194" s="162" t="str">
        <f t="shared" si="117"/>
        <v>Cost-Saving</v>
      </c>
      <c r="AW194" s="167">
        <f t="shared" si="136"/>
        <v>0.56444312933505247</v>
      </c>
      <c r="AX194" s="159" t="str">
        <f t="shared" si="118"/>
        <v>Cost-Saving</v>
      </c>
      <c r="AY194" s="167">
        <f t="shared" si="137"/>
        <v>0.31731694657870113</v>
      </c>
      <c r="AZ194" s="159" t="str">
        <f t="shared" si="119"/>
        <v>Cost-Saving</v>
      </c>
      <c r="BA194" s="167">
        <f t="shared" si="165"/>
        <v>0.6686887394303227</v>
      </c>
      <c r="BB194" s="159" t="str">
        <f t="shared" si="174"/>
        <v>Cost-Saving</v>
      </c>
      <c r="BC194" s="167">
        <f t="shared" si="166"/>
        <v>0.2771843839443679</v>
      </c>
      <c r="BD194" s="159" t="str">
        <f t="shared" si="175"/>
        <v>Cost-Saving</v>
      </c>
      <c r="BE194" s="162" t="s">
        <v>173</v>
      </c>
      <c r="BF194" s="162" t="s">
        <v>174</v>
      </c>
      <c r="BG194" s="168">
        <f t="shared" si="167"/>
        <v>0</v>
      </c>
      <c r="BH194" s="168">
        <f t="shared" si="168"/>
        <v>0</v>
      </c>
      <c r="BI194" s="163">
        <f t="shared" si="169"/>
        <v>0</v>
      </c>
      <c r="BJ194" s="163">
        <f t="shared" si="170"/>
        <v>0</v>
      </c>
      <c r="BK194" s="163">
        <f t="shared" si="176"/>
        <v>0</v>
      </c>
      <c r="BL194" s="163">
        <f t="shared" si="177"/>
        <v>0</v>
      </c>
      <c r="BM194" s="163">
        <f t="shared" si="178"/>
        <v>0</v>
      </c>
      <c r="BN194" s="163" t="s">
        <v>157</v>
      </c>
      <c r="BO194" s="162" t="str">
        <f t="shared" si="163"/>
        <v/>
      </c>
      <c r="BP194" s="162" t="s">
        <v>279</v>
      </c>
      <c r="BQ194" s="162" t="s">
        <v>1425</v>
      </c>
    </row>
    <row r="195" spans="1:70">
      <c r="A195" s="159">
        <f t="shared" ref="A195:A197" si="183">IF(F195=F194,A194,A194+1)</f>
        <v>56</v>
      </c>
      <c r="B195" s="159">
        <f t="shared" ref="B195:B197" si="184">IF(F195=F194,B194+1,1)</f>
        <v>4</v>
      </c>
      <c r="C195" s="160" t="str">
        <f t="shared" si="179"/>
        <v>5604</v>
      </c>
      <c r="D195" s="159" t="s">
        <v>631</v>
      </c>
      <c r="E195" s="159">
        <v>2020</v>
      </c>
      <c r="F195" s="162" t="s">
        <v>632</v>
      </c>
      <c r="G195" s="162" t="s">
        <v>214</v>
      </c>
      <c r="H195" s="163" t="str">
        <f t="shared" si="144"/>
        <v>UM</v>
      </c>
      <c r="I195" s="163" t="s">
        <v>148</v>
      </c>
      <c r="J195" s="162" t="s">
        <v>371</v>
      </c>
      <c r="K195" s="163" t="s">
        <v>186</v>
      </c>
      <c r="L195" s="163" t="s">
        <v>183</v>
      </c>
      <c r="M195" s="163" t="str">
        <f t="shared" ref="M195:M197" si="185">_xlfn.CONCAT(K195, " vs ", L195)</f>
        <v>PCV13 vs PCV10</v>
      </c>
      <c r="N195" s="159" t="s">
        <v>152</v>
      </c>
      <c r="O195" s="159">
        <v>3</v>
      </c>
      <c r="P195" s="162" t="s">
        <v>157</v>
      </c>
      <c r="Q195" s="162" t="s">
        <v>153</v>
      </c>
      <c r="R195" s="162" t="s">
        <v>154</v>
      </c>
      <c r="S195" s="162" t="s">
        <v>155</v>
      </c>
      <c r="T195" s="159">
        <v>2018</v>
      </c>
      <c r="U195" s="159" t="s">
        <v>178</v>
      </c>
      <c r="V195" s="159" t="s">
        <v>178</v>
      </c>
      <c r="W195" s="162" t="s">
        <v>177</v>
      </c>
      <c r="Y195" s="165"/>
      <c r="AA195" s="163" t="s">
        <v>148</v>
      </c>
      <c r="AB195" s="162" t="s">
        <v>637</v>
      </c>
      <c r="AC195" s="162" t="s">
        <v>148</v>
      </c>
      <c r="AD195" s="163" t="s">
        <v>157</v>
      </c>
      <c r="AE195" s="162" t="str">
        <f t="shared" si="161"/>
        <v/>
      </c>
      <c r="AF195" s="163" t="s">
        <v>148</v>
      </c>
      <c r="AG195" s="163" t="s">
        <v>148</v>
      </c>
      <c r="AH195" s="163" t="s">
        <v>148</v>
      </c>
      <c r="AJ195" s="162"/>
      <c r="AK195" s="162" t="s">
        <v>638</v>
      </c>
      <c r="AL195" s="163" t="s">
        <v>159</v>
      </c>
      <c r="AM195" s="179">
        <f>-198277289/2739</f>
        <v>-72390.393939393936</v>
      </c>
      <c r="AN195" s="179">
        <f t="shared" si="180"/>
        <v>-72390.393939393936</v>
      </c>
      <c r="AO195" s="179">
        <f t="shared" si="181"/>
        <v>11380.08209</v>
      </c>
      <c r="AP195" s="163" t="str">
        <f t="shared" si="128"/>
        <v>Cost-Saving</v>
      </c>
      <c r="AQ195" s="163" t="str">
        <f t="shared" si="102"/>
        <v>Cost-Saving</v>
      </c>
      <c r="AR195" s="167">
        <f t="shared" si="173"/>
        <v>-6.3611486601669966</v>
      </c>
      <c r="AS195" s="167">
        <f t="shared" si="134"/>
        <v>0.75</v>
      </c>
      <c r="AT195" s="159" t="str">
        <f t="shared" ref="AT195:AT197" si="186">IF(AR195&lt;0,"Cost-Saving", IF(AS195=".", ".", IF(AR195&lt;AS195, "Cost-Effective", "Not Cost-Effective")))</f>
        <v>Cost-Saving</v>
      </c>
      <c r="AU195" s="167">
        <f t="shared" si="135"/>
        <v>0.45</v>
      </c>
      <c r="AV195" s="162" t="str">
        <f t="shared" ref="AV195:AV197" si="187">IF(AR195&lt;0,"Cost-Saving", IF(AU195=".", ".", IF(AR195&lt;AU195, "Cost-Effective", "Not Cost-Effective")))</f>
        <v>Cost-Saving</v>
      </c>
      <c r="AW195" s="167">
        <f t="shared" si="136"/>
        <v>0.56444312933505247</v>
      </c>
      <c r="AX195" s="159" t="str">
        <f t="shared" ref="AX195:AX197" si="188">IF(AR195&lt;0,"Cost-Saving", IF(AW195=".", ".", IF(AR195&lt;AW195, "Cost-Effective", "Not Cost-Effective")))</f>
        <v>Cost-Saving</v>
      </c>
      <c r="AY195" s="167">
        <f t="shared" si="137"/>
        <v>0.31731694657870113</v>
      </c>
      <c r="AZ195" s="159" t="str">
        <f t="shared" ref="AZ195:AZ197" si="189">IF(AR195&lt;0,"Cost-Saving", IF(AY195=".", ".", IF(AR195&lt;AY195, "Cost-Effective", "Not Cost-Effective")))</f>
        <v>Cost-Saving</v>
      </c>
      <c r="BA195" s="167">
        <f t="shared" si="165"/>
        <v>0.6686887394303227</v>
      </c>
      <c r="BB195" s="159" t="str">
        <f t="shared" si="174"/>
        <v>Cost-Saving</v>
      </c>
      <c r="BC195" s="167">
        <f t="shared" si="166"/>
        <v>0.2771843839443679</v>
      </c>
      <c r="BD195" s="159" t="str">
        <f t="shared" si="175"/>
        <v>Cost-Saving</v>
      </c>
      <c r="BE195" s="162" t="s">
        <v>173</v>
      </c>
      <c r="BF195" s="162" t="s">
        <v>174</v>
      </c>
      <c r="BG195" s="168">
        <f t="shared" si="167"/>
        <v>0</v>
      </c>
      <c r="BH195" s="168">
        <f t="shared" si="168"/>
        <v>0</v>
      </c>
      <c r="BI195" s="163">
        <f t="shared" si="169"/>
        <v>0</v>
      </c>
      <c r="BJ195" s="163">
        <f t="shared" si="170"/>
        <v>0</v>
      </c>
      <c r="BK195" s="163">
        <f t="shared" si="176"/>
        <v>0</v>
      </c>
      <c r="BL195" s="163">
        <f t="shared" si="177"/>
        <v>0</v>
      </c>
      <c r="BM195" s="163">
        <f t="shared" si="178"/>
        <v>0</v>
      </c>
      <c r="BN195" s="163" t="s">
        <v>157</v>
      </c>
      <c r="BO195" s="162" t="str">
        <f t="shared" si="163"/>
        <v/>
      </c>
      <c r="BP195" s="162" t="s">
        <v>279</v>
      </c>
      <c r="BQ195" s="162" t="s">
        <v>1425</v>
      </c>
      <c r="BR195" s="162" t="s">
        <v>639</v>
      </c>
    </row>
    <row r="196" spans="1:70">
      <c r="A196" s="159">
        <f t="shared" si="183"/>
        <v>56</v>
      </c>
      <c r="B196" s="159">
        <f t="shared" si="184"/>
        <v>5</v>
      </c>
      <c r="C196" s="160" t="str">
        <f t="shared" si="179"/>
        <v>5605</v>
      </c>
      <c r="D196" s="159" t="s">
        <v>631</v>
      </c>
      <c r="E196" s="159">
        <v>2020</v>
      </c>
      <c r="F196" s="162" t="s">
        <v>632</v>
      </c>
      <c r="G196" s="162" t="s">
        <v>214</v>
      </c>
      <c r="H196" s="163" t="str">
        <f t="shared" si="144"/>
        <v>UM</v>
      </c>
      <c r="I196" s="163" t="s">
        <v>148</v>
      </c>
      <c r="J196" s="162" t="s">
        <v>371</v>
      </c>
      <c r="K196" s="163" t="s">
        <v>186</v>
      </c>
      <c r="L196" s="163" t="s">
        <v>183</v>
      </c>
      <c r="M196" s="163" t="str">
        <f t="shared" si="185"/>
        <v>PCV13 vs PCV10</v>
      </c>
      <c r="N196" s="159" t="s">
        <v>152</v>
      </c>
      <c r="O196" s="159">
        <v>3</v>
      </c>
      <c r="P196" s="162" t="s">
        <v>157</v>
      </c>
      <c r="Q196" s="162" t="s">
        <v>153</v>
      </c>
      <c r="R196" s="162" t="s">
        <v>154</v>
      </c>
      <c r="S196" s="162" t="s">
        <v>155</v>
      </c>
      <c r="T196" s="159">
        <v>2018</v>
      </c>
      <c r="U196" s="159" t="s">
        <v>178</v>
      </c>
      <c r="V196" s="159" t="s">
        <v>178</v>
      </c>
      <c r="W196" s="162" t="s">
        <v>177</v>
      </c>
      <c r="Y196" s="165"/>
      <c r="AA196" s="163" t="s">
        <v>148</v>
      </c>
      <c r="AB196" s="162" t="s">
        <v>640</v>
      </c>
      <c r="AC196" s="162" t="s">
        <v>148</v>
      </c>
      <c r="AD196" s="163" t="s">
        <v>157</v>
      </c>
      <c r="AE196" s="162" t="str">
        <f t="shared" si="161"/>
        <v/>
      </c>
      <c r="AF196" s="163" t="s">
        <v>148</v>
      </c>
      <c r="AG196" s="163" t="s">
        <v>148</v>
      </c>
      <c r="AH196" s="163" t="s">
        <v>148</v>
      </c>
      <c r="AJ196" s="162"/>
      <c r="AK196" s="162" t="s">
        <v>641</v>
      </c>
      <c r="AL196" s="163" t="s">
        <v>159</v>
      </c>
      <c r="AM196" s="179">
        <f>-173261339/2560</f>
        <v>-67680.210546874994</v>
      </c>
      <c r="AN196" s="179">
        <f t="shared" si="180"/>
        <v>-67680.210546874994</v>
      </c>
      <c r="AO196" s="179">
        <f t="shared" ref="AO196:AO197" si="190">VLOOKUP(G196,gdppc,T196-1958,FALSE)</f>
        <v>11380.08209</v>
      </c>
      <c r="AP196" s="163" t="str">
        <f t="shared" si="128"/>
        <v>Cost-Saving</v>
      </c>
      <c r="AQ196" s="163" t="str">
        <f t="shared" ref="AQ196:AQ197" si="191">IF(AN196="NA", ".", IF(AN196&lt;0,"Cost-Saving",IF(AN196&lt;=AO196*3,"Cost-Effective",IF(AN196&gt;AO196*3&amp;AN196&lt;&gt;"NA","Not Cost-Effective","Missing"))))</f>
        <v>Cost-Saving</v>
      </c>
      <c r="AR196" s="167">
        <f t="shared" si="173"/>
        <v>-5.9472515234619889</v>
      </c>
      <c r="AS196" s="167">
        <f t="shared" si="134"/>
        <v>0.75</v>
      </c>
      <c r="AT196" s="159" t="str">
        <f t="shared" si="186"/>
        <v>Cost-Saving</v>
      </c>
      <c r="AU196" s="167">
        <f t="shared" si="135"/>
        <v>0.45</v>
      </c>
      <c r="AV196" s="162" t="str">
        <f t="shared" si="187"/>
        <v>Cost-Saving</v>
      </c>
      <c r="AW196" s="167">
        <f t="shared" si="136"/>
        <v>0.56444312933505247</v>
      </c>
      <c r="AX196" s="159" t="str">
        <f t="shared" si="188"/>
        <v>Cost-Saving</v>
      </c>
      <c r="AY196" s="167">
        <f t="shared" si="137"/>
        <v>0.31731694657870113</v>
      </c>
      <c r="AZ196" s="159" t="str">
        <f t="shared" si="189"/>
        <v>Cost-Saving</v>
      </c>
      <c r="BA196" s="167">
        <f t="shared" si="165"/>
        <v>0.6686887394303227</v>
      </c>
      <c r="BB196" s="159" t="str">
        <f t="shared" si="174"/>
        <v>Cost-Saving</v>
      </c>
      <c r="BC196" s="167">
        <f t="shared" si="166"/>
        <v>0.2771843839443679</v>
      </c>
      <c r="BD196" s="159" t="str">
        <f t="shared" si="175"/>
        <v>Cost-Saving</v>
      </c>
      <c r="BE196" s="162" t="s">
        <v>173</v>
      </c>
      <c r="BF196" s="162" t="s">
        <v>174</v>
      </c>
      <c r="BG196" s="168">
        <f t="shared" si="167"/>
        <v>0</v>
      </c>
      <c r="BH196" s="168">
        <f t="shared" si="168"/>
        <v>0</v>
      </c>
      <c r="BI196" s="163">
        <f t="shared" si="169"/>
        <v>0</v>
      </c>
      <c r="BJ196" s="163">
        <f t="shared" si="170"/>
        <v>0</v>
      </c>
      <c r="BK196" s="163">
        <f t="shared" si="176"/>
        <v>0</v>
      </c>
      <c r="BL196" s="163">
        <f t="shared" si="177"/>
        <v>0</v>
      </c>
      <c r="BM196" s="163">
        <f t="shared" si="178"/>
        <v>0</v>
      </c>
      <c r="BN196" s="163" t="s">
        <v>157</v>
      </c>
      <c r="BO196" s="162" t="str">
        <f t="shared" si="163"/>
        <v/>
      </c>
      <c r="BP196" s="162" t="s">
        <v>279</v>
      </c>
      <c r="BQ196" s="162" t="s">
        <v>1425</v>
      </c>
      <c r="BR196" s="162" t="s">
        <v>642</v>
      </c>
    </row>
    <row r="197" spans="1:70">
      <c r="A197" s="159">
        <f t="shared" si="183"/>
        <v>57</v>
      </c>
      <c r="B197" s="159">
        <f t="shared" si="184"/>
        <v>1</v>
      </c>
      <c r="C197" s="160" t="str">
        <f t="shared" si="179"/>
        <v>5701</v>
      </c>
      <c r="D197" s="159" t="s">
        <v>643</v>
      </c>
      <c r="E197" s="159">
        <v>2019</v>
      </c>
      <c r="F197" s="162" t="s">
        <v>644</v>
      </c>
      <c r="G197" s="162" t="s">
        <v>537</v>
      </c>
      <c r="H197" s="163" t="str">
        <f t="shared" si="144"/>
        <v>UM</v>
      </c>
      <c r="I197" s="163" t="s">
        <v>157</v>
      </c>
      <c r="J197" s="162" t="s">
        <v>645</v>
      </c>
      <c r="K197" s="163" t="s">
        <v>186</v>
      </c>
      <c r="L197" s="163" t="s">
        <v>183</v>
      </c>
      <c r="M197" s="163" t="str">
        <f t="shared" si="185"/>
        <v>PCV13 vs PCV10</v>
      </c>
      <c r="N197" s="159" t="s">
        <v>152</v>
      </c>
      <c r="O197" s="159">
        <v>3</v>
      </c>
      <c r="P197" s="162" t="s">
        <v>148</v>
      </c>
      <c r="Q197" s="162" t="s">
        <v>167</v>
      </c>
      <c r="R197" s="162" t="s">
        <v>154</v>
      </c>
      <c r="S197" s="162" t="s">
        <v>155</v>
      </c>
      <c r="T197" s="159">
        <v>2018</v>
      </c>
      <c r="U197" s="165">
        <v>12.85</v>
      </c>
      <c r="V197" s="165">
        <f>IF(ISNUMBER(U197),U197/VLOOKUP($S197,xRates!$A$1:$AA$267,data!$T197-xRates!$B$1+2,FALSE),U197)</f>
        <v>12.85</v>
      </c>
      <c r="W197" s="162" t="s">
        <v>646</v>
      </c>
      <c r="X197" s="159">
        <v>14.5</v>
      </c>
      <c r="Y197" s="165">
        <v>14.5</v>
      </c>
      <c r="Z197" s="162" t="s">
        <v>646</v>
      </c>
      <c r="AA197" s="163" t="s">
        <v>148</v>
      </c>
      <c r="AB197" s="162" t="s">
        <v>557</v>
      </c>
      <c r="AC197" s="162" t="s">
        <v>178</v>
      </c>
      <c r="AD197" s="163" t="s">
        <v>148</v>
      </c>
      <c r="AE197" s="162" t="s">
        <v>177</v>
      </c>
      <c r="AF197" s="163" t="s">
        <v>148</v>
      </c>
      <c r="AG197" s="163" t="s">
        <v>148</v>
      </c>
      <c r="AH197" s="163" t="s">
        <v>148</v>
      </c>
      <c r="AJ197" s="162" t="s">
        <v>557</v>
      </c>
      <c r="AK197" s="162" t="s">
        <v>647</v>
      </c>
      <c r="AL197" s="163" t="s">
        <v>159</v>
      </c>
      <c r="AM197" s="179">
        <f>-6710744176/1307</f>
        <v>-5134463.791889824</v>
      </c>
      <c r="AN197" s="179">
        <f>AM197/xRates!X129</f>
        <v>-266803.81593844155</v>
      </c>
      <c r="AO197" s="179">
        <f t="shared" si="190"/>
        <v>9686.9849269999995</v>
      </c>
      <c r="AP197" s="163" t="str">
        <f t="shared" si="128"/>
        <v>Cost-Saving</v>
      </c>
      <c r="AQ197" s="163" t="str">
        <f t="shared" si="191"/>
        <v>Cost-Saving</v>
      </c>
      <c r="AR197" s="167">
        <f t="shared" si="173"/>
        <v>-27.542503467182442</v>
      </c>
      <c r="AS197" s="167">
        <f t="shared" si="134"/>
        <v>0.97</v>
      </c>
      <c r="AT197" s="159" t="str">
        <f t="shared" si="186"/>
        <v>Cost-Saving</v>
      </c>
      <c r="AU197" s="167">
        <f t="shared" si="135"/>
        <v>0.64</v>
      </c>
      <c r="AV197" s="162" t="str">
        <f t="shared" si="187"/>
        <v>Cost-Saving</v>
      </c>
      <c r="AW197" s="167">
        <f t="shared" si="136"/>
        <v>0.6292666176774443</v>
      </c>
      <c r="AX197" s="159" t="str">
        <f t="shared" si="188"/>
        <v>Cost-Saving</v>
      </c>
      <c r="AY197" s="167">
        <f t="shared" si="137"/>
        <v>0.22470477827865473</v>
      </c>
      <c r="AZ197" s="159" t="str">
        <f t="shared" si="189"/>
        <v>Cost-Saving</v>
      </c>
      <c r="BA197" s="167">
        <f t="shared" si="165"/>
        <v>0.92216934171082232</v>
      </c>
      <c r="BB197" s="159" t="str">
        <f t="shared" si="174"/>
        <v>Cost-Saving</v>
      </c>
      <c r="BC197" s="167">
        <f t="shared" si="166"/>
        <v>0.38219376705822333</v>
      </c>
      <c r="BD197" s="159" t="str">
        <f t="shared" si="175"/>
        <v>Cost-Saving</v>
      </c>
      <c r="BE197" s="162" t="s">
        <v>178</v>
      </c>
      <c r="BF197" s="162" t="s">
        <v>239</v>
      </c>
      <c r="BG197" s="168" t="str">
        <f t="shared" si="167"/>
        <v>.</v>
      </c>
      <c r="BH197" s="168" t="str">
        <f t="shared" si="168"/>
        <v>.</v>
      </c>
      <c r="BI197" s="163" t="str">
        <f t="shared" si="169"/>
        <v>.</v>
      </c>
      <c r="BJ197" s="163" t="str">
        <f t="shared" si="170"/>
        <v>.</v>
      </c>
      <c r="BK197" s="163" t="str">
        <f t="shared" si="176"/>
        <v>.</v>
      </c>
      <c r="BL197" s="163" t="str">
        <f t="shared" si="177"/>
        <v>.</v>
      </c>
      <c r="BM197" s="163">
        <f t="shared" si="178"/>
        <v>0</v>
      </c>
      <c r="BN197" s="163" t="s">
        <v>157</v>
      </c>
      <c r="BO197" s="162" t="str">
        <f t="shared" si="163"/>
        <v/>
      </c>
      <c r="BP197" s="162" t="s">
        <v>279</v>
      </c>
      <c r="BQ197" s="162" t="s">
        <v>1425</v>
      </c>
    </row>
  </sheetData>
  <sortState xmlns:xlrd2="http://schemas.microsoft.com/office/spreadsheetml/2017/richdata2" ref="A2:BO98">
    <sortCondition ref="A2:A98"/>
  </sortState>
  <phoneticPr fontId="5" type="noConversion"/>
  <pageMargins left="0.7" right="0.7" top="0.75" bottom="0.75" header="0.3" footer="0.3"/>
  <pageSetup orientation="portrait" horizontalDpi="360" verticalDpi="360" r:id="rId1"/>
  <ignoredErrors>
    <ignoredError sqref="BK2:BK172 BK173:BK197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5135-E478-CC49-B04F-32D7447EAD9F}">
  <sheetPr codeName="Sheet15"/>
  <dimension ref="A3:G33"/>
  <sheetViews>
    <sheetView workbookViewId="0">
      <selection activeCell="D43" sqref="D43"/>
    </sheetView>
  </sheetViews>
  <sheetFormatPr baseColWidth="10" defaultColWidth="10.83203125" defaultRowHeight="15"/>
  <sheetData>
    <row r="3" spans="1:7">
      <c r="A3" s="135" t="s">
        <v>648</v>
      </c>
      <c r="B3" t="s">
        <v>649</v>
      </c>
      <c r="F3" s="135" t="s">
        <v>648</v>
      </c>
      <c r="G3" t="s">
        <v>649</v>
      </c>
    </row>
    <row r="4" spans="1:7">
      <c r="A4" t="s">
        <v>214</v>
      </c>
      <c r="B4">
        <f>18-5</f>
        <v>13</v>
      </c>
      <c r="C4" t="s">
        <v>650</v>
      </c>
      <c r="F4" t="s">
        <v>421</v>
      </c>
      <c r="G4">
        <v>17</v>
      </c>
    </row>
    <row r="5" spans="1:7">
      <c r="A5" t="s">
        <v>421</v>
      </c>
      <c r="B5">
        <v>17</v>
      </c>
      <c r="F5" t="s">
        <v>147</v>
      </c>
      <c r="G5">
        <v>16</v>
      </c>
    </row>
    <row r="6" spans="1:7">
      <c r="A6" t="s">
        <v>147</v>
      </c>
      <c r="B6">
        <v>16</v>
      </c>
      <c r="F6" t="s">
        <v>252</v>
      </c>
      <c r="G6">
        <v>16</v>
      </c>
    </row>
    <row r="7" spans="1:7">
      <c r="A7" t="s">
        <v>252</v>
      </c>
      <c r="B7">
        <v>16</v>
      </c>
      <c r="F7" t="s">
        <v>330</v>
      </c>
      <c r="G7">
        <v>15</v>
      </c>
    </row>
    <row r="8" spans="1:7">
      <c r="A8" t="s">
        <v>330</v>
      </c>
      <c r="B8">
        <v>15</v>
      </c>
      <c r="F8" t="s">
        <v>214</v>
      </c>
      <c r="G8">
        <f>18-5</f>
        <v>13</v>
      </c>
    </row>
    <row r="9" spans="1:7">
      <c r="A9" t="s">
        <v>365</v>
      </c>
      <c r="B9">
        <v>13</v>
      </c>
      <c r="F9" t="s">
        <v>365</v>
      </c>
      <c r="G9">
        <v>13</v>
      </c>
    </row>
    <row r="10" spans="1:7">
      <c r="A10" t="s">
        <v>602</v>
      </c>
      <c r="B10">
        <v>12</v>
      </c>
      <c r="F10" t="s">
        <v>602</v>
      </c>
      <c r="G10">
        <v>12</v>
      </c>
    </row>
    <row r="11" spans="1:7">
      <c r="A11" t="s">
        <v>404</v>
      </c>
      <c r="B11">
        <v>12</v>
      </c>
      <c r="F11" t="s">
        <v>404</v>
      </c>
      <c r="G11">
        <v>12</v>
      </c>
    </row>
    <row r="12" spans="1:7">
      <c r="A12" t="s">
        <v>346</v>
      </c>
      <c r="B12">
        <v>10</v>
      </c>
      <c r="F12" t="s">
        <v>346</v>
      </c>
      <c r="G12">
        <v>10</v>
      </c>
    </row>
    <row r="13" spans="1:7">
      <c r="A13" t="s">
        <v>285</v>
      </c>
      <c r="B13">
        <v>10</v>
      </c>
      <c r="F13" t="s">
        <v>285</v>
      </c>
      <c r="G13">
        <v>10</v>
      </c>
    </row>
    <row r="14" spans="1:7">
      <c r="A14" t="s">
        <v>482</v>
      </c>
      <c r="B14">
        <v>8</v>
      </c>
      <c r="F14" t="s">
        <v>651</v>
      </c>
      <c r="G14">
        <f>SUM(B14:B32)</f>
        <v>53</v>
      </c>
    </row>
    <row r="15" spans="1:7">
      <c r="A15" t="s">
        <v>455</v>
      </c>
      <c r="B15">
        <v>7</v>
      </c>
      <c r="G15">
        <f>SUM(G4:G14)</f>
        <v>187</v>
      </c>
    </row>
    <row r="16" spans="1:7">
      <c r="A16" t="s">
        <v>382</v>
      </c>
      <c r="B16">
        <v>5</v>
      </c>
    </row>
    <row r="17" spans="1:3">
      <c r="A17" t="s">
        <v>537</v>
      </c>
      <c r="B17">
        <f>5</f>
        <v>5</v>
      </c>
      <c r="C17" t="s">
        <v>650</v>
      </c>
    </row>
    <row r="18" spans="1:3">
      <c r="A18" t="s">
        <v>307</v>
      </c>
      <c r="B18">
        <v>4</v>
      </c>
    </row>
    <row r="19" spans="1:3">
      <c r="A19" t="s">
        <v>322</v>
      </c>
      <c r="B19">
        <v>3</v>
      </c>
    </row>
    <row r="20" spans="1:3">
      <c r="A20" t="s">
        <v>586</v>
      </c>
      <c r="B20">
        <v>2</v>
      </c>
    </row>
    <row r="21" spans="1:3">
      <c r="A21" t="s">
        <v>559</v>
      </c>
      <c r="B21">
        <v>2</v>
      </c>
    </row>
    <row r="22" spans="1:3">
      <c r="A22" t="s">
        <v>428</v>
      </c>
      <c r="B22">
        <v>2</v>
      </c>
    </row>
    <row r="23" spans="1:3">
      <c r="A23" t="s">
        <v>567</v>
      </c>
      <c r="B23">
        <v>2</v>
      </c>
    </row>
    <row r="24" spans="1:3">
      <c r="A24" t="s">
        <v>443</v>
      </c>
      <c r="B24">
        <v>2</v>
      </c>
    </row>
    <row r="25" spans="1:3">
      <c r="A25" t="s">
        <v>391</v>
      </c>
      <c r="B25">
        <v>2</v>
      </c>
    </row>
    <row r="26" spans="1:3">
      <c r="A26" t="s">
        <v>412</v>
      </c>
      <c r="B26">
        <v>2</v>
      </c>
    </row>
    <row r="27" spans="1:3">
      <c r="A27" t="s">
        <v>583</v>
      </c>
      <c r="B27">
        <v>2</v>
      </c>
    </row>
    <row r="28" spans="1:3">
      <c r="A28" t="s">
        <v>449</v>
      </c>
      <c r="B28">
        <v>1</v>
      </c>
    </row>
    <row r="29" spans="1:3">
      <c r="A29" t="s">
        <v>398</v>
      </c>
      <c r="B29">
        <v>1</v>
      </c>
    </row>
    <row r="30" spans="1:3">
      <c r="A30" t="s">
        <v>494</v>
      </c>
      <c r="B30">
        <v>1</v>
      </c>
    </row>
    <row r="31" spans="1:3">
      <c r="A31" t="s">
        <v>245</v>
      </c>
      <c r="B31">
        <v>1</v>
      </c>
    </row>
    <row r="32" spans="1:3">
      <c r="A32" t="s">
        <v>334</v>
      </c>
      <c r="B32">
        <v>1</v>
      </c>
    </row>
    <row r="33" spans="1:2">
      <c r="A33" t="s">
        <v>652</v>
      </c>
      <c r="B33">
        <v>192</v>
      </c>
    </row>
  </sheetData>
  <sortState xmlns:xlrd2="http://schemas.microsoft.com/office/spreadsheetml/2017/richdata2" ref="F4:G13">
    <sortCondition descending="1" ref="G4:G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4903-9AC4-43CD-A08C-8073F0D59C0E}">
  <sheetPr codeName="Sheet4"/>
  <dimension ref="A1:F47"/>
  <sheetViews>
    <sheetView workbookViewId="0">
      <selection activeCell="A2" sqref="A2"/>
    </sheetView>
  </sheetViews>
  <sheetFormatPr baseColWidth="10" defaultColWidth="8.83203125" defaultRowHeight="14"/>
  <cols>
    <col min="1" max="1" width="7.33203125" style="57" bestFit="1" customWidth="1"/>
    <col min="2" max="2" width="12.1640625" style="56" bestFit="1" customWidth="1"/>
    <col min="3" max="3" width="15.1640625" style="57" bestFit="1" customWidth="1"/>
    <col min="4" max="5" width="8.83203125" style="56"/>
    <col min="6" max="6" width="7.33203125" style="56" bestFit="1" customWidth="1"/>
    <col min="7" max="16384" width="8.83203125" style="56"/>
  </cols>
  <sheetData>
    <row r="1" spans="1:6">
      <c r="A1" s="57" t="s">
        <v>653</v>
      </c>
      <c r="B1" s="56" t="s">
        <v>654</v>
      </c>
      <c r="C1" s="57" t="s">
        <v>655</v>
      </c>
      <c r="E1" s="56" t="s">
        <v>656</v>
      </c>
      <c r="F1" s="56" t="s">
        <v>657</v>
      </c>
    </row>
    <row r="2" spans="1:6">
      <c r="A2" s="57">
        <v>1</v>
      </c>
      <c r="B2" s="56">
        <f t="shared" ref="B2:B47" ca="1" si="0">RAND()</f>
        <v>0.36968172437275848</v>
      </c>
      <c r="C2" s="57" cm="1">
        <f t="array" aca="1" ref="C2" ca="1">INDEX(A$2:A$47,RANK(B3,B$3:B$47))</f>
        <v>12</v>
      </c>
      <c r="E2" s="56">
        <v>33</v>
      </c>
      <c r="F2" s="56" t="s">
        <v>658</v>
      </c>
    </row>
    <row r="3" spans="1:6">
      <c r="A3" s="57">
        <v>2</v>
      </c>
      <c r="B3" s="56">
        <f t="shared" ca="1" si="0"/>
        <v>0.76465126678426143</v>
      </c>
      <c r="C3" s="57" cm="1">
        <f t="array" aca="1" ref="C3" ca="1">INDEX(A$2:A$47,RANK(B4,B$3:B$47))</f>
        <v>35</v>
      </c>
      <c r="E3" s="56">
        <v>12</v>
      </c>
      <c r="F3" s="56" t="s">
        <v>659</v>
      </c>
    </row>
    <row r="4" spans="1:6">
      <c r="A4" s="57">
        <v>3</v>
      </c>
      <c r="B4" s="56">
        <f t="shared" ca="1" si="0"/>
        <v>0.15369013491141503</v>
      </c>
      <c r="C4" s="57" cm="1">
        <f t="array" aca="1" ref="C4" ca="1">INDEX(A$2:A$47,RANK(B5,B$3:B$47))</f>
        <v>22</v>
      </c>
      <c r="E4" s="56">
        <v>16</v>
      </c>
      <c r="F4" s="56" t="s">
        <v>660</v>
      </c>
    </row>
    <row r="5" spans="1:6">
      <c r="A5" s="57">
        <v>4</v>
      </c>
      <c r="B5" s="56">
        <f t="shared" ca="1" si="0"/>
        <v>0.49725531605118278</v>
      </c>
      <c r="C5" s="57" cm="1">
        <f t="array" aca="1" ref="C5" ca="1">INDEX(A$2:A$47,RANK(B6,B$3:B$47))</f>
        <v>30</v>
      </c>
      <c r="E5" s="56">
        <v>35</v>
      </c>
      <c r="F5" s="56" t="s">
        <v>661</v>
      </c>
    </row>
    <row r="6" spans="1:6">
      <c r="A6" s="57">
        <v>5</v>
      </c>
      <c r="B6" s="56">
        <f t="shared" ca="1" si="0"/>
        <v>0.22251962047282425</v>
      </c>
      <c r="C6" s="57" cm="1">
        <f t="array" aca="1" ref="C6" ca="1">INDEX(A$2:A$47,RANK(B7,B$3:B$47))</f>
        <v>20</v>
      </c>
      <c r="E6" s="56">
        <v>34</v>
      </c>
      <c r="F6" s="56" t="s">
        <v>662</v>
      </c>
    </row>
    <row r="7" spans="1:6">
      <c r="A7" s="57">
        <v>6</v>
      </c>
      <c r="B7" s="56">
        <f t="shared" ca="1" si="0"/>
        <v>0.50473276824076885</v>
      </c>
      <c r="C7" s="57" cm="1">
        <f t="array" aca="1" ref="C7" ca="1">INDEX(A$2:A$47,RANK(B8,B$3:B$47))</f>
        <v>36</v>
      </c>
      <c r="E7" s="56">
        <v>44</v>
      </c>
      <c r="F7" s="56" t="s">
        <v>663</v>
      </c>
    </row>
    <row r="8" spans="1:6">
      <c r="A8" s="57">
        <v>7</v>
      </c>
      <c r="B8" s="56">
        <f t="shared" ca="1" si="0"/>
        <v>0.11989392168246349</v>
      </c>
      <c r="C8" s="57" cm="1">
        <f t="array" aca="1" ref="C8" ca="1">INDEX(A$2:A$47,RANK(B9,B$3:B$47))</f>
        <v>25</v>
      </c>
      <c r="E8" s="56">
        <v>15</v>
      </c>
      <c r="F8" s="56" t="s">
        <v>664</v>
      </c>
    </row>
    <row r="9" spans="1:6">
      <c r="A9" s="57">
        <v>8</v>
      </c>
      <c r="B9" s="56">
        <f t="shared" ca="1" si="0"/>
        <v>0.31939294452938338</v>
      </c>
      <c r="C9" s="57" cm="1">
        <f t="array" aca="1" ref="C9" ca="1">INDEX(A$2:A$47,RANK(B10,B$3:B$47))</f>
        <v>43</v>
      </c>
      <c r="E9" s="56">
        <v>24</v>
      </c>
      <c r="F9" s="56" t="s">
        <v>665</v>
      </c>
    </row>
    <row r="10" spans="1:6">
      <c r="A10" s="57">
        <v>9</v>
      </c>
      <c r="B10" s="56">
        <f t="shared" ca="1" si="0"/>
        <v>3.5239604782020151E-2</v>
      </c>
      <c r="C10" s="57" cm="1">
        <f t="array" aca="1" ref="C10" ca="1">INDEX(A$2:A$47,RANK(B11,B$3:B$47))</f>
        <v>32</v>
      </c>
      <c r="E10" s="56">
        <v>25</v>
      </c>
      <c r="F10" s="56" t="s">
        <v>666</v>
      </c>
    </row>
    <row r="11" spans="1:6">
      <c r="A11" s="57">
        <v>10</v>
      </c>
      <c r="B11" s="56">
        <f t="shared" ca="1" si="0"/>
        <v>0.19314568695284395</v>
      </c>
      <c r="C11" s="57" cm="1">
        <f t="array" aca="1" ref="C11" ca="1">INDEX(A$2:A$47,RANK(B12,B$3:B$47))</f>
        <v>44</v>
      </c>
      <c r="E11" s="56">
        <v>40</v>
      </c>
      <c r="F11" s="56" t="s">
        <v>667</v>
      </c>
    </row>
    <row r="12" spans="1:6">
      <c r="A12" s="57">
        <v>11</v>
      </c>
      <c r="B12" s="56">
        <f t="shared" ca="1" si="0"/>
        <v>3.2381099435803251E-2</v>
      </c>
      <c r="C12" s="57" cm="1">
        <f t="array" aca="1" ref="C12" ca="1">INDEX(A$2:A$47,RANK(B13,B$3:B$47))</f>
        <v>1</v>
      </c>
    </row>
    <row r="13" spans="1:6">
      <c r="A13" s="57">
        <v>12</v>
      </c>
      <c r="B13" s="56">
        <f t="shared" ca="1" si="0"/>
        <v>0.99432935710729886</v>
      </c>
      <c r="C13" s="57" cm="1">
        <f t="array" aca="1" ref="C13" ca="1">INDEX(A$2:A$47,RANK(B14,B$3:B$47))</f>
        <v>41</v>
      </c>
    </row>
    <row r="14" spans="1:6">
      <c r="A14" s="57">
        <v>13</v>
      </c>
      <c r="B14" s="56">
        <f t="shared" ca="1" si="0"/>
        <v>6.064126129000369E-2</v>
      </c>
      <c r="C14" s="57" cm="1">
        <f t="array" aca="1" ref="C14" ca="1">INDEX(A$2:A$47,RANK(B15,B$3:B$47))</f>
        <v>18</v>
      </c>
    </row>
    <row r="15" spans="1:6">
      <c r="A15" s="57">
        <v>14</v>
      </c>
      <c r="B15" s="56">
        <f t="shared" ca="1" si="0"/>
        <v>0.53910066192162875</v>
      </c>
      <c r="C15" s="57" cm="1">
        <f t="array" aca="1" ref="C15" ca="1">INDEX(A$2:A$47,RANK(B16,B$3:B$47))</f>
        <v>7</v>
      </c>
    </row>
    <row r="16" spans="1:6">
      <c r="A16" s="57">
        <v>15</v>
      </c>
      <c r="B16" s="56">
        <f t="shared" ca="1" si="0"/>
        <v>0.86668843386735916</v>
      </c>
      <c r="C16" s="57" cm="1">
        <f t="array" aca="1" ref="C16" ca="1">INDEX(A$2:A$47,RANK(B17,B$3:B$47))</f>
        <v>39</v>
      </c>
    </row>
    <row r="17" spans="1:3">
      <c r="A17" s="57">
        <v>16</v>
      </c>
      <c r="B17" s="56">
        <f t="shared" ca="1" si="0"/>
        <v>8.8107938576560074E-2</v>
      </c>
      <c r="C17" s="57" cm="1">
        <f t="array" aca="1" ref="C17" ca="1">INDEX(A$2:A$47,RANK(B18,B$3:B$47))</f>
        <v>21</v>
      </c>
    </row>
    <row r="18" spans="1:3">
      <c r="A18" s="57">
        <v>17</v>
      </c>
      <c r="B18" s="56">
        <f t="shared" ca="1" si="0"/>
        <v>0.49914458423574293</v>
      </c>
      <c r="C18" s="57" cm="1">
        <f t="array" aca="1" ref="C18" ca="1">INDEX(A$2:A$47,RANK(B19,B$3:B$47))</f>
        <v>37</v>
      </c>
    </row>
    <row r="19" spans="1:3">
      <c r="A19" s="57">
        <v>18</v>
      </c>
      <c r="B19" s="56">
        <f t="shared" ca="1" si="0"/>
        <v>0.11023364357785204</v>
      </c>
      <c r="C19" s="57" cm="1">
        <f t="array" aca="1" ref="C19" ca="1">INDEX(A$2:A$47,RANK(B20,B$3:B$47))</f>
        <v>5</v>
      </c>
    </row>
    <row r="20" spans="1:3">
      <c r="A20" s="57">
        <v>19</v>
      </c>
      <c r="B20" s="56">
        <f t="shared" ca="1" si="0"/>
        <v>0.88958859350967778</v>
      </c>
      <c r="C20" s="57" cm="1">
        <f t="array" aca="1" ref="C20" ca="1">INDEX(A$2:A$47,RANK(B21,B$3:B$47))</f>
        <v>11</v>
      </c>
    </row>
    <row r="21" spans="1:3">
      <c r="A21" s="57">
        <v>20</v>
      </c>
      <c r="B21" s="56">
        <f t="shared" ca="1" si="0"/>
        <v>0.78036589531358003</v>
      </c>
      <c r="C21" s="57" cm="1">
        <f t="array" aca="1" ref="C21" ca="1">INDEX(A$2:A$47,RANK(B22,B$3:B$47))</f>
        <v>42</v>
      </c>
    </row>
    <row r="22" spans="1:3">
      <c r="A22" s="57">
        <v>21</v>
      </c>
      <c r="B22" s="56">
        <f t="shared" ca="1" si="0"/>
        <v>4.9301044920916914E-2</v>
      </c>
      <c r="C22" s="57" cm="1">
        <f t="array" aca="1" ref="C22" ca="1">INDEX(A$2:A$47,RANK(B23,B$3:B$47))</f>
        <v>24</v>
      </c>
    </row>
    <row r="23" spans="1:3">
      <c r="A23" s="57">
        <v>22</v>
      </c>
      <c r="B23" s="56">
        <f t="shared" ca="1" si="0"/>
        <v>0.42269104182111772</v>
      </c>
      <c r="C23" s="57" cm="1">
        <f t="array" aca="1" ref="C23" ca="1">INDEX(A$2:A$47,RANK(B24,B$3:B$47))</f>
        <v>29</v>
      </c>
    </row>
    <row r="24" spans="1:3">
      <c r="A24" s="57">
        <v>23</v>
      </c>
      <c r="B24" s="56">
        <f t="shared" ca="1" si="0"/>
        <v>0.23318409159096731</v>
      </c>
      <c r="C24" s="57" cm="1">
        <f t="array" aca="1" ref="C24" ca="1">INDEX(A$2:A$47,RANK(B25,B$3:B$47))</f>
        <v>26</v>
      </c>
    </row>
    <row r="25" spans="1:3">
      <c r="A25" s="57">
        <v>24</v>
      </c>
      <c r="B25" s="56">
        <f t="shared" ca="1" si="0"/>
        <v>0.31146052214556907</v>
      </c>
      <c r="C25" s="57" cm="1">
        <f t="array" aca="1" ref="C25" ca="1">INDEX(A$2:A$47,RANK(B26,B$3:B$47))</f>
        <v>13</v>
      </c>
    </row>
    <row r="26" spans="1:3">
      <c r="A26" s="57">
        <v>25</v>
      </c>
      <c r="B26" s="56">
        <f t="shared" ca="1" si="0"/>
        <v>0.76005694938169599</v>
      </c>
      <c r="C26" s="57" cm="1">
        <f t="array" aca="1" ref="C26" ca="1">INDEX(A$2:A$47,RANK(B27,B$3:B$47))</f>
        <v>45</v>
      </c>
    </row>
    <row r="27" spans="1:3">
      <c r="A27" s="57">
        <v>26</v>
      </c>
      <c r="B27" s="56">
        <f t="shared" ca="1" si="0"/>
        <v>3.0840741766667845E-2</v>
      </c>
      <c r="C27" s="57" cm="1">
        <f t="array" aca="1" ref="C27" ca="1">INDEX(A$2:A$47,RANK(B28,B$3:B$47))</f>
        <v>6</v>
      </c>
    </row>
    <row r="28" spans="1:3">
      <c r="A28" s="57">
        <v>27</v>
      </c>
      <c r="B28" s="56">
        <f t="shared" ca="1" si="0"/>
        <v>0.86764584290706603</v>
      </c>
      <c r="C28" s="57" cm="1">
        <f t="array" aca="1" ref="C28" ca="1">INDEX(A$2:A$47,RANK(B29,B$3:B$47))</f>
        <v>33</v>
      </c>
    </row>
    <row r="29" spans="1:3">
      <c r="A29" s="57">
        <v>28</v>
      </c>
      <c r="B29" s="56">
        <f t="shared" ca="1" si="0"/>
        <v>0.19171873475964663</v>
      </c>
      <c r="C29" s="57" cm="1">
        <f t="array" aca="1" ref="C29" ca="1">INDEX(A$2:A$47,RANK(B30,B$3:B$47))</f>
        <v>9</v>
      </c>
    </row>
    <row r="30" spans="1:3">
      <c r="A30" s="57">
        <v>29</v>
      </c>
      <c r="B30" s="56">
        <f t="shared" ca="1" si="0"/>
        <v>0.79303248521057446</v>
      </c>
      <c r="C30" s="57" cm="1">
        <f t="array" aca="1" ref="C30" ca="1">INDEX(A$2:A$47,RANK(B31,B$3:B$47))</f>
        <v>3</v>
      </c>
    </row>
    <row r="31" spans="1:3">
      <c r="A31" s="57">
        <v>30</v>
      </c>
      <c r="B31" s="56">
        <f t="shared" ca="1" si="0"/>
        <v>0.932375671934768</v>
      </c>
      <c r="C31" s="57" cm="1">
        <f t="array" aca="1" ref="C31" ca="1">INDEX(A$2:A$47,RANK(B32,B$3:B$47))</f>
        <v>15</v>
      </c>
    </row>
    <row r="32" spans="1:3">
      <c r="A32" s="57">
        <v>31</v>
      </c>
      <c r="B32" s="56">
        <f t="shared" ca="1" si="0"/>
        <v>0.61188699845413064</v>
      </c>
      <c r="C32" s="57" cm="1">
        <f t="array" aca="1" ref="C32" ca="1">INDEX(A$2:A$47,RANK(B33,B$3:B$47))</f>
        <v>4</v>
      </c>
    </row>
    <row r="33" spans="1:3">
      <c r="A33" s="57">
        <v>32</v>
      </c>
      <c r="B33" s="56">
        <f t="shared" ca="1" si="0"/>
        <v>0.91984907388395942</v>
      </c>
      <c r="C33" s="57" cm="1">
        <f t="array" aca="1" ref="C33" ca="1">INDEX(A$2:A$47,RANK(B34,B$3:B$47))</f>
        <v>38</v>
      </c>
    </row>
    <row r="34" spans="1:3">
      <c r="A34" s="57">
        <v>33</v>
      </c>
      <c r="B34" s="56">
        <f t="shared" ca="1" si="0"/>
        <v>9.3746353523777248E-2</v>
      </c>
      <c r="C34" s="57" cm="1">
        <f t="array" aca="1" ref="C34" ca="1">INDEX(A$2:A$47,RANK(B35,B$3:B$47))</f>
        <v>16</v>
      </c>
    </row>
    <row r="35" spans="1:3">
      <c r="A35" s="57">
        <v>34</v>
      </c>
      <c r="B35" s="56">
        <f t="shared" ca="1" si="0"/>
        <v>0.59039742322972744</v>
      </c>
      <c r="C35" s="57" cm="1">
        <f t="array" aca="1" ref="C35" ca="1">INDEX(A$2:A$47,RANK(B36,B$3:B$47))</f>
        <v>19</v>
      </c>
    </row>
    <row r="36" spans="1:3">
      <c r="A36" s="57">
        <v>35</v>
      </c>
      <c r="B36" s="56">
        <f t="shared" ca="1" si="0"/>
        <v>0.51822135122514124</v>
      </c>
      <c r="C36" s="57" cm="1">
        <f t="array" aca="1" ref="C36" ca="1">INDEX(A$2:A$47,RANK(B37,B$3:B$47))</f>
        <v>23</v>
      </c>
    </row>
    <row r="37" spans="1:3">
      <c r="A37" s="57">
        <v>36</v>
      </c>
      <c r="B37" s="56">
        <f t="shared" ca="1" si="0"/>
        <v>0.48747502716475555</v>
      </c>
      <c r="C37" s="57" cm="1">
        <f t="array" aca="1" ref="C37" ca="1">INDEX(A$2:A$47,RANK(B38,B$3:B$47))</f>
        <v>40</v>
      </c>
    </row>
    <row r="38" spans="1:3">
      <c r="A38" s="57">
        <v>37</v>
      </c>
      <c r="B38" s="56">
        <f t="shared" ca="1" si="0"/>
        <v>8.1566214949576166E-2</v>
      </c>
      <c r="C38" s="57" cm="1">
        <f t="array" aca="1" ref="C38" ca="1">INDEX(A$2:A$47,RANK(B39,B$3:B$47))</f>
        <v>8</v>
      </c>
    </row>
    <row r="39" spans="1:3">
      <c r="A39" s="57">
        <v>38</v>
      </c>
      <c r="B39" s="56">
        <f t="shared" ca="1" si="0"/>
        <v>0.83414951380757774</v>
      </c>
      <c r="C39" s="57" cm="1">
        <f t="array" aca="1" ref="C39" ca="1">INDEX(A$2:A$47,RANK(B40,B$3:B$47))</f>
        <v>2</v>
      </c>
    </row>
    <row r="40" spans="1:3">
      <c r="A40" s="57">
        <v>39</v>
      </c>
      <c r="B40" s="56">
        <f t="shared" ca="1" si="0"/>
        <v>0.96214453580795811</v>
      </c>
      <c r="C40" s="57" cm="1">
        <f t="array" aca="1" ref="C40" ca="1">INDEX(A$2:A$47,RANK(B41,B$3:B$47))</f>
        <v>31</v>
      </c>
    </row>
    <row r="41" spans="1:3">
      <c r="A41" s="57">
        <v>40</v>
      </c>
      <c r="B41" s="56">
        <f t="shared" ca="1" si="0"/>
        <v>0.21623651248319731</v>
      </c>
      <c r="C41" s="57" cm="1">
        <f t="array" aca="1" ref="C41" ca="1">INDEX(A$2:A$47,RANK(B42,B$3:B$47))</f>
        <v>17</v>
      </c>
    </row>
    <row r="42" spans="1:3">
      <c r="A42" s="57">
        <v>41</v>
      </c>
      <c r="B42" s="56">
        <f t="shared" ca="1" si="0"/>
        <v>0.56981998595822081</v>
      </c>
      <c r="C42" s="57" cm="1">
        <f t="array" aca="1" ref="C42" ca="1">INDEX(A$2:A$47,RANK(B43,B$3:B$47))</f>
        <v>28</v>
      </c>
    </row>
    <row r="43" spans="1:3">
      <c r="A43" s="57">
        <v>42</v>
      </c>
      <c r="B43" s="56">
        <f t="shared" ca="1" si="0"/>
        <v>0.24603440817874989</v>
      </c>
      <c r="C43" s="57" cm="1">
        <f t="array" aca="1" ref="C43" ca="1">INDEX(A$2:A$47,RANK(B44,B$3:B$47))</f>
        <v>34</v>
      </c>
    </row>
    <row r="44" spans="1:3">
      <c r="A44" s="57">
        <v>43</v>
      </c>
      <c r="B44" s="56">
        <f t="shared" ca="1" si="0"/>
        <v>0.1700770100700445</v>
      </c>
      <c r="C44" s="57" cm="1">
        <f t="array" aca="1" ref="C44" ca="1">INDEX(A$2:A$47,RANK(B45,B$3:B$47))</f>
        <v>10</v>
      </c>
    </row>
    <row r="45" spans="1:3">
      <c r="A45" s="57">
        <v>44</v>
      </c>
      <c r="B45" s="56">
        <f t="shared" ca="1" si="0"/>
        <v>0.78620562090021362</v>
      </c>
      <c r="C45" s="57" cm="1">
        <f t="array" aca="1" ref="C45" ca="1">INDEX(A$2:A$47,RANK(B46,B$3:B$47))</f>
        <v>14</v>
      </c>
    </row>
    <row r="46" spans="1:3">
      <c r="A46" s="57">
        <v>45</v>
      </c>
      <c r="B46" s="56">
        <f t="shared" ca="1" si="0"/>
        <v>0.73157390911380782</v>
      </c>
      <c r="C46" s="57" cm="1">
        <f t="array" aca="1" ref="C46" ca="1">INDEX(A$2:A$47,RANK(B47,B$3:B$47))</f>
        <v>27</v>
      </c>
    </row>
    <row r="47" spans="1:3">
      <c r="A47" s="57">
        <v>46</v>
      </c>
      <c r="B47" s="56">
        <f t="shared" ca="1" si="0"/>
        <v>0.30816323582289207</v>
      </c>
      <c r="C47" s="57" t="e" cm="1">
        <f t="array" ref="C47">INDEX(A$2:A$47,RANK(#REF!,B$3:B$47))</f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855C-2413-964D-A899-682B8DF8E1B8}">
  <sheetPr codeName="Sheet6"/>
  <dimension ref="A1:AJ214"/>
  <sheetViews>
    <sheetView zoomScale="70" zoomScaleNormal="70" workbookViewId="0">
      <pane ySplit="1" topLeftCell="A141" activePane="bottomLeft" state="frozen"/>
      <selection activeCell="I1" sqref="I1"/>
      <selection pane="bottomLeft" activeCell="A186" sqref="A186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1.33203125" style="30" bestFit="1" customWidth="1"/>
    <col min="37" max="16384" width="9.1640625" style="30"/>
  </cols>
  <sheetData>
    <row r="1" spans="1:35" s="37" customFormat="1" ht="12.75" customHeight="1">
      <c r="A1" s="36" t="s">
        <v>653</v>
      </c>
      <c r="B1" s="36" t="s">
        <v>668</v>
      </c>
      <c r="C1" s="36" t="s">
        <v>669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670</v>
      </c>
      <c r="I1" s="36" t="s">
        <v>671</v>
      </c>
      <c r="J1" s="36" t="s">
        <v>672</v>
      </c>
      <c r="K1" s="52" t="s">
        <v>673</v>
      </c>
      <c r="L1" s="36" t="s">
        <v>674</v>
      </c>
      <c r="M1" s="36" t="s">
        <v>675</v>
      </c>
      <c r="N1" s="37" t="s">
        <v>676</v>
      </c>
      <c r="O1" s="37" t="s">
        <v>677</v>
      </c>
      <c r="P1" s="36" t="s">
        <v>678</v>
      </c>
      <c r="Q1" s="37" t="s">
        <v>679</v>
      </c>
      <c r="R1" s="37" t="s">
        <v>680</v>
      </c>
      <c r="S1" s="37" t="s">
        <v>681</v>
      </c>
      <c r="T1" s="38" t="s">
        <v>682</v>
      </c>
      <c r="U1" s="37" t="s">
        <v>683</v>
      </c>
      <c r="V1" s="37" t="s">
        <v>684</v>
      </c>
      <c r="W1" s="37" t="s">
        <v>685</v>
      </c>
      <c r="X1" s="54" t="s">
        <v>686</v>
      </c>
      <c r="Y1" s="37" t="s">
        <v>687</v>
      </c>
      <c r="Z1" s="54" t="s">
        <v>688</v>
      </c>
      <c r="AA1" s="37" t="s">
        <v>689</v>
      </c>
      <c r="AB1" s="54" t="s">
        <v>690</v>
      </c>
      <c r="AC1" s="37" t="s">
        <v>691</v>
      </c>
      <c r="AD1" s="54" t="s">
        <v>692</v>
      </c>
      <c r="AE1" s="37" t="s">
        <v>693</v>
      </c>
      <c r="AF1" s="37" t="s">
        <v>694</v>
      </c>
      <c r="AG1" s="37" t="s">
        <v>695</v>
      </c>
      <c r="AH1" s="37" t="s">
        <v>696</v>
      </c>
      <c r="AI1" s="37" t="s">
        <v>697</v>
      </c>
    </row>
    <row r="2" spans="1:35" ht="12.75" customHeight="1">
      <c r="A2" s="40">
        <v>1</v>
      </c>
      <c r="B2" s="40">
        <v>1</v>
      </c>
      <c r="C2" s="51" t="str">
        <f t="shared" ref="C2:C65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698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699</v>
      </c>
      <c r="P2" s="33">
        <v>2011</v>
      </c>
      <c r="Q2" s="30" t="s">
        <v>700</v>
      </c>
      <c r="R2" s="35">
        <v>530354</v>
      </c>
      <c r="S2" s="32">
        <v>530354</v>
      </c>
      <c r="T2" s="32">
        <f t="shared" ref="T2:T65" si="1">VLOOKUP(G2,gdppc,P2-1958,FALSE)</f>
        <v>5614.3521350000001</v>
      </c>
      <c r="U2" s="30" t="str">
        <f t="shared" ref="U2:U65" si="2">IF(S2&lt;T2,"Cost-Effective","Not Cost-Effective")</f>
        <v>Not Cost-Effective</v>
      </c>
      <c r="V2" s="30" t="str">
        <f t="shared" ref="V2:V65" si="3">IF(S2&lt;T2*3,"Cost-Effective","Not Cost-Effective")</f>
        <v>Not Cost-Effective</v>
      </c>
      <c r="W2" s="41">
        <f t="shared" ref="W2:W65" si="4">S2/T2</f>
        <v>94.463971487246226</v>
      </c>
      <c r="X2" s="55">
        <f t="shared" ref="X2:X65" si="5">IFERROR(VLOOKUP(G2,ochalek,11,FALSE),0)</f>
        <v>0.71</v>
      </c>
      <c r="Y2" s="30" t="str">
        <f t="shared" ref="Y2:Y65" si="6">IF( W2&lt;X2, "Cost-Effective", IF( W2-X2=W2, "No Threshold", "Not Cost-Effective"))</f>
        <v>Not Cost-Effective</v>
      </c>
      <c r="Z2" s="55">
        <f t="shared" ref="Z2:Z65" si="7">IFERROR(VLOOKUP(G2,ochalek,10,FALSE),0)</f>
        <v>0.45</v>
      </c>
      <c r="AA2" s="30" t="str">
        <f>IF( W2&lt;Z2, "Cost-Effective", IF( W2-Z2=W2, "No Threshold", "Not Cost-Effective"))</f>
        <v>Not Cost-Effective</v>
      </c>
      <c r="AB2" s="55">
        <f t="shared" ref="AB2:AB65" si="8">IFERROR(VLOOKUP(G2,woods,6,FALSE),0)</f>
        <v>0.6481168977852142</v>
      </c>
      <c r="AC2" s="30" t="str">
        <f t="shared" ref="AC2:AC65" si="9">IF( W2&lt;AB2, "Cost-Effective", IF( W2-AB2=W2, "No Threshold", "Not Cost-Effective"))</f>
        <v>Not Cost-Effective</v>
      </c>
      <c r="AD2" s="55">
        <f t="shared" ref="AD2:AD65" si="10">IFERROR(VLOOKUP(G2,woods,5,FALSE),0)</f>
        <v>0.16395220864852342</v>
      </c>
      <c r="AE2" s="30" t="str">
        <f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701</v>
      </c>
    </row>
    <row r="3" spans="1:35" ht="12.75" customHeight="1">
      <c r="A3" s="40">
        <f t="shared" ref="A3:A66" si="11">IF(F3=F2,A2,A2+1)</f>
        <v>1</v>
      </c>
      <c r="B3" s="40">
        <f t="shared" ref="B3:B66" si="12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698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699</v>
      </c>
      <c r="P3" s="33">
        <v>2011</v>
      </c>
      <c r="Q3" s="30" t="s">
        <v>702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ref="AA3:AA66" si="13">IF( W3&lt;Z3, "Cost-Effective", IF( W3-Z3=W3, "No Threshold", "Not Cost-Effective"))</f>
        <v>Not Cost-Effective</v>
      </c>
      <c r="AB3" s="55">
        <f t="shared" si="8"/>
        <v>0.6481168977852142</v>
      </c>
      <c r="AC3" s="30" t="str">
        <f t="shared" si="9"/>
        <v>Not Cost-Effective</v>
      </c>
      <c r="AD3" s="55">
        <f t="shared" si="10"/>
        <v>0.16395220864852342</v>
      </c>
      <c r="AE3" s="30" t="str">
        <f t="shared" ref="AE3:AE66" si="14">IF( W3&lt;AD3, "Cost-Effective", IF( W3-AD3=W3, "No Threshold", "Not Cost-Effective"))</f>
        <v>Not Cost-Effective</v>
      </c>
      <c r="AF3" s="30" t="s">
        <v>173</v>
      </c>
      <c r="AG3" s="30" t="s">
        <v>161</v>
      </c>
    </row>
    <row r="4" spans="1:35" ht="12.75" customHeight="1">
      <c r="A4" s="40">
        <f t="shared" si="11"/>
        <v>2</v>
      </c>
      <c r="B4" s="40">
        <f t="shared" si="12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698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699</v>
      </c>
      <c r="P4" s="33">
        <v>2011</v>
      </c>
      <c r="Q4" s="30" t="s">
        <v>703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13"/>
        <v>Cost-Effective</v>
      </c>
      <c r="AB4" s="55">
        <f t="shared" si="8"/>
        <v>0.6481168977852142</v>
      </c>
      <c r="AC4" s="30" t="str">
        <f t="shared" si="9"/>
        <v>Cost-Effective</v>
      </c>
      <c r="AD4" s="55">
        <f t="shared" si="10"/>
        <v>0.16395220864852342</v>
      </c>
      <c r="AE4" s="30" t="str">
        <f t="shared" si="14"/>
        <v>Not Cost-Effective</v>
      </c>
      <c r="AF4" s="30" t="s">
        <v>173</v>
      </c>
      <c r="AG4" s="30" t="s">
        <v>174</v>
      </c>
    </row>
    <row r="5" spans="1:35" ht="12.75" customHeight="1">
      <c r="A5" s="40">
        <f t="shared" si="11"/>
        <v>3</v>
      </c>
      <c r="B5" s="40">
        <f t="shared" si="12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698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699</v>
      </c>
      <c r="P5" s="33">
        <v>2014</v>
      </c>
      <c r="Q5" s="30" t="s">
        <v>704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13"/>
        <v>Not Cost-Effective</v>
      </c>
      <c r="AB5" s="55">
        <f t="shared" si="8"/>
        <v>0.6481168977852142</v>
      </c>
      <c r="AC5" s="30" t="str">
        <f t="shared" si="9"/>
        <v>Not Cost-Effective</v>
      </c>
      <c r="AD5" s="55">
        <f t="shared" si="10"/>
        <v>0.16395220864852342</v>
      </c>
      <c r="AE5" s="30" t="str">
        <f t="shared" si="14"/>
        <v>Not Cost-Effective</v>
      </c>
      <c r="AF5" s="30" t="s">
        <v>173</v>
      </c>
      <c r="AG5" s="30" t="s">
        <v>174</v>
      </c>
    </row>
    <row r="6" spans="1:35" ht="12.75" customHeight="1">
      <c r="A6" s="40">
        <f t="shared" si="11"/>
        <v>3</v>
      </c>
      <c r="B6" s="40">
        <f t="shared" si="12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705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699</v>
      </c>
      <c r="P6" s="33">
        <v>2014</v>
      </c>
      <c r="Q6" s="30" t="s">
        <v>706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13"/>
        <v>Not Cost-Effective</v>
      </c>
      <c r="AB6" s="55">
        <f t="shared" si="8"/>
        <v>0.6481168977852142</v>
      </c>
      <c r="AC6" s="30" t="str">
        <f t="shared" si="9"/>
        <v>Not Cost-Effective</v>
      </c>
      <c r="AD6" s="55">
        <f t="shared" si="10"/>
        <v>0.16395220864852342</v>
      </c>
      <c r="AE6" s="30" t="str">
        <f t="shared" si="14"/>
        <v>Not Cost-Effective</v>
      </c>
      <c r="AF6" s="30" t="s">
        <v>173</v>
      </c>
      <c r="AG6" s="30" t="s">
        <v>174</v>
      </c>
    </row>
    <row r="7" spans="1:35" ht="12.75" customHeight="1">
      <c r="A7" s="40">
        <f t="shared" si="11"/>
        <v>3</v>
      </c>
      <c r="B7" s="40">
        <f t="shared" si="12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707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699</v>
      </c>
      <c r="P7" s="33">
        <v>2014</v>
      </c>
      <c r="Q7" s="30" t="s">
        <v>708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13"/>
        <v>Not Cost-Effective</v>
      </c>
      <c r="AB7" s="55">
        <f t="shared" si="8"/>
        <v>0.6481168977852142</v>
      </c>
      <c r="AC7" s="30" t="str">
        <f t="shared" si="9"/>
        <v>Not Cost-Effective</v>
      </c>
      <c r="AD7" s="55">
        <f t="shared" si="10"/>
        <v>0.16395220864852342</v>
      </c>
      <c r="AE7" s="30" t="str">
        <f t="shared" si="14"/>
        <v>Not Cost-Effective</v>
      </c>
      <c r="AF7" s="30" t="s">
        <v>173</v>
      </c>
      <c r="AG7" s="30" t="s">
        <v>174</v>
      </c>
    </row>
    <row r="8" spans="1:35" ht="12.75" customHeight="1">
      <c r="A8" s="40">
        <f t="shared" si="11"/>
        <v>4</v>
      </c>
      <c r="B8" s="40">
        <f t="shared" si="12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698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699</v>
      </c>
      <c r="P8" s="33">
        <v>2015</v>
      </c>
      <c r="Q8" s="30" t="s">
        <v>709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13"/>
        <v>Not Cost-Effective</v>
      </c>
      <c r="AB8" s="55">
        <f t="shared" si="8"/>
        <v>0.6481168977852142</v>
      </c>
      <c r="AC8" s="30" t="str">
        <f t="shared" si="9"/>
        <v>Not Cost-Effective</v>
      </c>
      <c r="AD8" s="55">
        <f t="shared" si="10"/>
        <v>0.16395220864852342</v>
      </c>
      <c r="AE8" s="30" t="str">
        <f t="shared" si="14"/>
        <v>Not Cost-Effective</v>
      </c>
      <c r="AF8" s="30" t="s">
        <v>173</v>
      </c>
      <c r="AG8" s="30" t="s">
        <v>161</v>
      </c>
    </row>
    <row r="9" spans="1:35" ht="12.75" customHeight="1">
      <c r="A9" s="40">
        <f t="shared" si="11"/>
        <v>4</v>
      </c>
      <c r="B9" s="40">
        <f t="shared" si="12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707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699</v>
      </c>
      <c r="P9" s="33">
        <v>2015</v>
      </c>
      <c r="Q9" s="30" t="s">
        <v>710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13"/>
        <v>Not Cost-Effective</v>
      </c>
      <c r="AB9" s="55">
        <f t="shared" si="8"/>
        <v>0.6481168977852142</v>
      </c>
      <c r="AC9" s="30" t="str">
        <f t="shared" si="9"/>
        <v>Not Cost-Effective</v>
      </c>
      <c r="AD9" s="55">
        <f t="shared" si="10"/>
        <v>0.16395220864852342</v>
      </c>
      <c r="AE9" s="30" t="str">
        <f t="shared" si="14"/>
        <v>Not Cost-Effective</v>
      </c>
      <c r="AF9" s="30" t="s">
        <v>173</v>
      </c>
      <c r="AG9" s="30" t="s">
        <v>161</v>
      </c>
    </row>
    <row r="10" spans="1:35" ht="12.75" customHeight="1">
      <c r="A10" s="40">
        <f t="shared" si="11"/>
        <v>5</v>
      </c>
      <c r="B10" s="40">
        <f t="shared" si="12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707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711</v>
      </c>
      <c r="P10" s="33">
        <v>2015</v>
      </c>
      <c r="Q10" s="30" t="s">
        <v>712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13"/>
        <v>Not Cost-Effective</v>
      </c>
      <c r="AB10" s="55">
        <f t="shared" si="8"/>
        <v>0.6481168977852142</v>
      </c>
      <c r="AC10" s="30" t="str">
        <f t="shared" si="9"/>
        <v>Not Cost-Effective</v>
      </c>
      <c r="AD10" s="55">
        <f t="shared" si="10"/>
        <v>0.16395220864852342</v>
      </c>
      <c r="AE10" s="30" t="str">
        <f t="shared" si="14"/>
        <v>Not Cost-Effective</v>
      </c>
      <c r="AF10" s="30" t="s">
        <v>202</v>
      </c>
      <c r="AG10" s="30" t="s">
        <v>174</v>
      </c>
    </row>
    <row r="11" spans="1:35" ht="12.75" customHeight="1">
      <c r="A11" s="40">
        <f t="shared" si="11"/>
        <v>5</v>
      </c>
      <c r="B11" s="40">
        <f t="shared" si="12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707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711</v>
      </c>
      <c r="P11" s="33">
        <v>2015</v>
      </c>
      <c r="Q11" s="30" t="s">
        <v>713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13"/>
        <v>Not Cost-Effective</v>
      </c>
      <c r="AB11" s="55">
        <f t="shared" si="8"/>
        <v>0.6481168977852142</v>
      </c>
      <c r="AC11" s="30" t="str">
        <f t="shared" si="9"/>
        <v>Not Cost-Effective</v>
      </c>
      <c r="AD11" s="55">
        <f t="shared" si="10"/>
        <v>0.16395220864852342</v>
      </c>
      <c r="AE11" s="30" t="str">
        <f t="shared" si="14"/>
        <v>Not Cost-Effective</v>
      </c>
      <c r="AF11" s="30" t="s">
        <v>202</v>
      </c>
      <c r="AG11" s="30" t="s">
        <v>174</v>
      </c>
    </row>
    <row r="12" spans="1:35" ht="12.75" customHeight="1">
      <c r="A12" s="40">
        <f t="shared" si="11"/>
        <v>5</v>
      </c>
      <c r="B12" s="40">
        <f t="shared" si="12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707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711</v>
      </c>
      <c r="P12" s="33">
        <v>2015</v>
      </c>
      <c r="Q12" s="30" t="s">
        <v>714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13"/>
        <v>Cost-Effective</v>
      </c>
      <c r="AB12" s="55">
        <f t="shared" si="8"/>
        <v>0.6481168977852142</v>
      </c>
      <c r="AC12" s="30" t="str">
        <f t="shared" si="9"/>
        <v>Cost-Effective</v>
      </c>
      <c r="AD12" s="55">
        <f t="shared" si="10"/>
        <v>0.16395220864852342</v>
      </c>
      <c r="AE12" s="30" t="str">
        <f t="shared" si="14"/>
        <v>Cost-Effective</v>
      </c>
      <c r="AF12" s="30" t="s">
        <v>202</v>
      </c>
      <c r="AG12" s="30" t="s">
        <v>174</v>
      </c>
    </row>
    <row r="13" spans="1:35" ht="12.75" customHeight="1">
      <c r="A13" s="40">
        <f t="shared" si="11"/>
        <v>6</v>
      </c>
      <c r="B13" s="40">
        <f t="shared" si="12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707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699</v>
      </c>
      <c r="P13" s="33">
        <v>2016</v>
      </c>
      <c r="Q13" s="30" t="s">
        <v>715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13"/>
        <v>Not Cost-Effective</v>
      </c>
      <c r="AB13" s="55">
        <f t="shared" si="8"/>
        <v>0.6481168977852142</v>
      </c>
      <c r="AC13" s="30" t="str">
        <f t="shared" si="9"/>
        <v>Not Cost-Effective</v>
      </c>
      <c r="AD13" s="55">
        <f t="shared" si="10"/>
        <v>0.16395220864852342</v>
      </c>
      <c r="AE13" s="30" t="str">
        <f t="shared" si="14"/>
        <v>Not Cost-Effective</v>
      </c>
      <c r="AF13" s="30" t="s">
        <v>210</v>
      </c>
      <c r="AG13" s="30" t="s">
        <v>174</v>
      </c>
    </row>
    <row r="14" spans="1:35" ht="12.75" customHeight="1">
      <c r="A14" s="40">
        <f t="shared" si="11"/>
        <v>6</v>
      </c>
      <c r="B14" s="40">
        <f t="shared" si="12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707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699</v>
      </c>
      <c r="P14" s="33">
        <v>2016</v>
      </c>
      <c r="Q14" s="30" t="s">
        <v>716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13"/>
        <v>Not Cost-Effective</v>
      </c>
      <c r="AB14" s="55">
        <f t="shared" si="8"/>
        <v>0.6481168977852142</v>
      </c>
      <c r="AC14" s="30" t="str">
        <f t="shared" si="9"/>
        <v>Not Cost-Effective</v>
      </c>
      <c r="AD14" s="55">
        <f t="shared" si="10"/>
        <v>0.16395220864852342</v>
      </c>
      <c r="AE14" s="30" t="str">
        <f t="shared" si="14"/>
        <v>Not Cost-Effective</v>
      </c>
      <c r="AF14" s="30" t="s">
        <v>210</v>
      </c>
      <c r="AG14" s="30" t="s">
        <v>174</v>
      </c>
    </row>
    <row r="15" spans="1:35" ht="12.75" customHeight="1">
      <c r="A15" s="40">
        <f t="shared" si="11"/>
        <v>7</v>
      </c>
      <c r="B15" s="40">
        <f t="shared" si="12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698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699</v>
      </c>
      <c r="P15" s="33">
        <v>2007</v>
      </c>
      <c r="Q15" s="30" t="s">
        <v>717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13"/>
        <v>Not Cost-Effective</v>
      </c>
      <c r="AB15" s="55">
        <f t="shared" si="8"/>
        <v>0.56444312933505247</v>
      </c>
      <c r="AC15" s="30" t="str">
        <f t="shared" si="9"/>
        <v>Not Cost-Effective</v>
      </c>
      <c r="AD15" s="55">
        <f t="shared" si="10"/>
        <v>0.31731694657870113</v>
      </c>
      <c r="AE15" s="30" t="str">
        <f t="shared" si="14"/>
        <v>Not Cost-Effective</v>
      </c>
      <c r="AF15" s="30" t="s">
        <v>173</v>
      </c>
      <c r="AG15" s="30" t="s">
        <v>174</v>
      </c>
    </row>
    <row r="16" spans="1:35" ht="12.75" customHeight="1">
      <c r="A16" s="40">
        <f t="shared" si="11"/>
        <v>8</v>
      </c>
      <c r="B16" s="40">
        <f t="shared" si="12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705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699</v>
      </c>
      <c r="P16" s="33">
        <v>2010</v>
      </c>
      <c r="Q16" s="30" t="s">
        <v>718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13"/>
        <v>Not Cost-Effective</v>
      </c>
      <c r="AB16" s="55">
        <f t="shared" si="8"/>
        <v>0.56444312933505247</v>
      </c>
      <c r="AC16" s="30" t="str">
        <f t="shared" si="9"/>
        <v>Not Cost-Effective</v>
      </c>
      <c r="AD16" s="55">
        <f t="shared" si="10"/>
        <v>0.31731694657870113</v>
      </c>
      <c r="AE16" s="30" t="str">
        <f t="shared" si="14"/>
        <v>Not Cost-Effective</v>
      </c>
      <c r="AF16" s="30" t="s">
        <v>173</v>
      </c>
      <c r="AG16" s="30" t="s">
        <v>174</v>
      </c>
    </row>
    <row r="17" spans="1:36" s="64" customFormat="1" ht="12.75" customHeight="1">
      <c r="A17" s="63">
        <f t="shared" si="11"/>
        <v>8</v>
      </c>
      <c r="B17" s="63">
        <f t="shared" si="12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719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699</v>
      </c>
      <c r="P17" s="72">
        <v>2010</v>
      </c>
      <c r="Q17" s="64" t="s">
        <v>720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13"/>
        <v>Not Cost-Effective</v>
      </c>
      <c r="AB17" s="76">
        <f t="shared" si="8"/>
        <v>0.56444312933505247</v>
      </c>
      <c r="AC17" s="64" t="str">
        <f t="shared" si="9"/>
        <v>Not Cost-Effective</v>
      </c>
      <c r="AD17" s="76">
        <f t="shared" si="10"/>
        <v>0.31731694657870113</v>
      </c>
      <c r="AE17" s="64" t="str">
        <f t="shared" si="14"/>
        <v>Not Cost-Effective</v>
      </c>
      <c r="AF17" s="64" t="s">
        <v>173</v>
      </c>
      <c r="AG17" s="64" t="s">
        <v>174</v>
      </c>
      <c r="AH17" s="64" t="s">
        <v>721</v>
      </c>
      <c r="AJ17" s="64" t="s">
        <v>722</v>
      </c>
    </row>
    <row r="18" spans="1:36" ht="12.75" customHeight="1">
      <c r="A18" s="40">
        <f t="shared" si="11"/>
        <v>9</v>
      </c>
      <c r="B18" s="40">
        <f t="shared" si="12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705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699</v>
      </c>
      <c r="P18" s="33">
        <v>2014</v>
      </c>
      <c r="Q18" s="30" t="s">
        <v>723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13"/>
        <v>Not Cost-Effective</v>
      </c>
      <c r="AB18" s="55">
        <f t="shared" si="8"/>
        <v>0.56444312933505247</v>
      </c>
      <c r="AC18" s="30" t="str">
        <f t="shared" si="9"/>
        <v>Not Cost-Effective</v>
      </c>
      <c r="AD18" s="55">
        <f t="shared" si="10"/>
        <v>0.31731694657870113</v>
      </c>
      <c r="AE18" s="30" t="str">
        <f t="shared" si="14"/>
        <v>Not Cost-Effective</v>
      </c>
      <c r="AF18" s="30" t="s">
        <v>173</v>
      </c>
      <c r="AG18" s="30" t="s">
        <v>174</v>
      </c>
    </row>
    <row r="19" spans="1:36" s="64" customFormat="1" ht="12.75" customHeight="1">
      <c r="A19" s="63">
        <f t="shared" si="11"/>
        <v>9</v>
      </c>
      <c r="B19" s="63">
        <f t="shared" si="12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719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699</v>
      </c>
      <c r="P19" s="72">
        <v>2014</v>
      </c>
      <c r="Q19" s="64" t="s">
        <v>724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13"/>
        <v>Not Cost-Effective</v>
      </c>
      <c r="AB19" s="76">
        <f t="shared" si="8"/>
        <v>0.56444312933505247</v>
      </c>
      <c r="AC19" s="64" t="str">
        <f t="shared" si="9"/>
        <v>Not Cost-Effective</v>
      </c>
      <c r="AD19" s="76">
        <f t="shared" si="10"/>
        <v>0.31731694657870113</v>
      </c>
      <c r="AE19" s="64" t="str">
        <f t="shared" si="14"/>
        <v>Not Cost-Effective</v>
      </c>
      <c r="AF19" s="64" t="s">
        <v>173</v>
      </c>
      <c r="AG19" s="64" t="s">
        <v>174</v>
      </c>
      <c r="AH19" s="64" t="s">
        <v>721</v>
      </c>
      <c r="AJ19" s="64" t="s">
        <v>722</v>
      </c>
    </row>
    <row r="20" spans="1:36" ht="12.75" customHeight="1">
      <c r="A20" s="40">
        <f t="shared" si="11"/>
        <v>10</v>
      </c>
      <c r="B20" s="40">
        <f t="shared" si="12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705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699</v>
      </c>
      <c r="P20" s="33">
        <v>2014</v>
      </c>
      <c r="Q20" s="30" t="s">
        <v>725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13"/>
        <v>Not Cost-Effective</v>
      </c>
      <c r="AB20" s="55">
        <f t="shared" si="8"/>
        <v>0.56444312933505247</v>
      </c>
      <c r="AC20" s="30" t="str">
        <f t="shared" si="9"/>
        <v>Not Cost-Effective</v>
      </c>
      <c r="AD20" s="55">
        <f t="shared" si="10"/>
        <v>0.31731694657870113</v>
      </c>
      <c r="AE20" s="30" t="str">
        <f t="shared" si="14"/>
        <v>Not Cost-Effective</v>
      </c>
      <c r="AF20" s="30" t="s">
        <v>210</v>
      </c>
      <c r="AG20" s="30" t="s">
        <v>161</v>
      </c>
    </row>
    <row r="21" spans="1:36" ht="12.75" customHeight="1">
      <c r="A21" s="40">
        <f t="shared" si="11"/>
        <v>10</v>
      </c>
      <c r="B21" s="40">
        <f t="shared" si="12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705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699</v>
      </c>
      <c r="P21" s="33">
        <v>2014</v>
      </c>
      <c r="Q21" s="30" t="s">
        <v>726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13"/>
        <v>Not Cost-Effective</v>
      </c>
      <c r="AB21" s="55">
        <f t="shared" si="8"/>
        <v>0.56444312933505247</v>
      </c>
      <c r="AC21" s="30" t="str">
        <f t="shared" si="9"/>
        <v>Not Cost-Effective</v>
      </c>
      <c r="AD21" s="55">
        <f t="shared" si="10"/>
        <v>0.31731694657870113</v>
      </c>
      <c r="AE21" s="30" t="str">
        <f t="shared" si="14"/>
        <v>Not Cost-Effective</v>
      </c>
      <c r="AF21" s="30" t="s">
        <v>210</v>
      </c>
      <c r="AG21" s="30" t="s">
        <v>161</v>
      </c>
    </row>
    <row r="22" spans="1:36" ht="12.75" customHeight="1">
      <c r="A22" s="40">
        <f t="shared" si="11"/>
        <v>10</v>
      </c>
      <c r="B22" s="40">
        <f t="shared" si="12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707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699</v>
      </c>
      <c r="P22" s="33">
        <v>2014</v>
      </c>
      <c r="Q22" s="30" t="s">
        <v>727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13"/>
        <v>Not Cost-Effective</v>
      </c>
      <c r="AB22" s="55">
        <f t="shared" si="8"/>
        <v>0.56444312933505247</v>
      </c>
      <c r="AC22" s="30" t="str">
        <f t="shared" si="9"/>
        <v>Not Cost-Effective</v>
      </c>
      <c r="AD22" s="55">
        <f t="shared" si="10"/>
        <v>0.31731694657870113</v>
      </c>
      <c r="AE22" s="30" t="str">
        <f t="shared" si="14"/>
        <v>Not Cost-Effective</v>
      </c>
      <c r="AF22" s="30" t="s">
        <v>210</v>
      </c>
      <c r="AG22" s="30" t="s">
        <v>174</v>
      </c>
    </row>
    <row r="23" spans="1:36" ht="12.75" customHeight="1">
      <c r="A23" s="40">
        <f t="shared" si="11"/>
        <v>10</v>
      </c>
      <c r="B23" s="40">
        <f t="shared" si="12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707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699</v>
      </c>
      <c r="P23" s="33">
        <v>2014</v>
      </c>
      <c r="Q23" s="30" t="s">
        <v>728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13"/>
        <v>Cost-Effective</v>
      </c>
      <c r="AB23" s="55">
        <f t="shared" si="8"/>
        <v>0.56444312933505247</v>
      </c>
      <c r="AC23" s="30" t="str">
        <f t="shared" si="9"/>
        <v>Cost-Effective</v>
      </c>
      <c r="AD23" s="55">
        <f t="shared" si="10"/>
        <v>0.31731694657870113</v>
      </c>
      <c r="AE23" s="30" t="str">
        <f t="shared" si="14"/>
        <v>Not Cost-Effective</v>
      </c>
      <c r="AF23" s="30" t="s">
        <v>210</v>
      </c>
      <c r="AG23" s="30" t="s">
        <v>174</v>
      </c>
    </row>
    <row r="24" spans="1:36" ht="12.75" customHeight="1">
      <c r="A24" s="40">
        <f t="shared" si="11"/>
        <v>10</v>
      </c>
      <c r="B24" s="40">
        <f t="shared" si="12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729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699</v>
      </c>
      <c r="P24" s="33">
        <v>2014</v>
      </c>
      <c r="Q24" s="30" t="s">
        <v>730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13"/>
        <v>Cost-Effective</v>
      </c>
      <c r="AB24" s="55">
        <f t="shared" si="8"/>
        <v>0.56444312933505247</v>
      </c>
      <c r="AC24" s="30" t="str">
        <f t="shared" si="9"/>
        <v>Cost-Effective</v>
      </c>
      <c r="AD24" s="55">
        <f t="shared" si="10"/>
        <v>0.31731694657870113</v>
      </c>
      <c r="AE24" s="30" t="str">
        <f t="shared" si="14"/>
        <v>Cost-Effective</v>
      </c>
      <c r="AF24" s="30" t="s">
        <v>210</v>
      </c>
      <c r="AG24" s="30" t="s">
        <v>239</v>
      </c>
    </row>
    <row r="25" spans="1:36" ht="12.75" customHeight="1">
      <c r="A25" s="40">
        <f t="shared" si="11"/>
        <v>10</v>
      </c>
      <c r="B25" s="40">
        <f t="shared" si="12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729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699</v>
      </c>
      <c r="P25" s="33">
        <v>2014</v>
      </c>
      <c r="Q25" s="30" t="s">
        <v>731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13"/>
        <v>Cost-Effective</v>
      </c>
      <c r="AB25" s="55">
        <f t="shared" si="8"/>
        <v>0.56444312933505247</v>
      </c>
      <c r="AC25" s="30" t="str">
        <f t="shared" si="9"/>
        <v>Cost-Effective</v>
      </c>
      <c r="AD25" s="55">
        <f t="shared" si="10"/>
        <v>0.31731694657870113</v>
      </c>
      <c r="AE25" s="30" t="str">
        <f t="shared" si="14"/>
        <v>Cost-Effective</v>
      </c>
      <c r="AF25" s="30" t="s">
        <v>210</v>
      </c>
      <c r="AG25" s="30" t="s">
        <v>239</v>
      </c>
    </row>
    <row r="26" spans="1:36" ht="12.75" customHeight="1">
      <c r="A26" s="40">
        <f t="shared" si="11"/>
        <v>10</v>
      </c>
      <c r="B26" s="40">
        <f t="shared" si="12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707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699</v>
      </c>
      <c r="P26" s="33">
        <v>2014</v>
      </c>
      <c r="Q26" s="30" t="s">
        <v>732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13"/>
        <v>Not Cost-Effective</v>
      </c>
      <c r="AB26" s="55">
        <f t="shared" si="8"/>
        <v>0.56444312933505247</v>
      </c>
      <c r="AC26" s="30" t="str">
        <f t="shared" si="9"/>
        <v>Not Cost-Effective</v>
      </c>
      <c r="AD26" s="55">
        <f t="shared" si="10"/>
        <v>0.31731694657870113</v>
      </c>
      <c r="AE26" s="30" t="str">
        <f t="shared" si="14"/>
        <v>Not Cost-Effective</v>
      </c>
      <c r="AF26" s="30" t="s">
        <v>210</v>
      </c>
      <c r="AG26" s="30" t="s">
        <v>161</v>
      </c>
    </row>
    <row r="27" spans="1:36" ht="12.75" customHeight="1">
      <c r="A27" s="40">
        <f t="shared" si="11"/>
        <v>10</v>
      </c>
      <c r="B27" s="40">
        <f t="shared" si="12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707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699</v>
      </c>
      <c r="P27" s="33">
        <v>2014</v>
      </c>
      <c r="Q27" s="30" t="s">
        <v>733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13"/>
        <v>Not Cost-Effective</v>
      </c>
      <c r="AB27" s="55">
        <f t="shared" si="8"/>
        <v>0.56444312933505247</v>
      </c>
      <c r="AC27" s="30" t="str">
        <f t="shared" si="9"/>
        <v>Not Cost-Effective</v>
      </c>
      <c r="AD27" s="55">
        <f t="shared" si="10"/>
        <v>0.31731694657870113</v>
      </c>
      <c r="AE27" s="30" t="str">
        <f t="shared" si="14"/>
        <v>Not Cost-Effective</v>
      </c>
      <c r="AF27" s="30" t="s">
        <v>210</v>
      </c>
      <c r="AG27" s="30" t="s">
        <v>161</v>
      </c>
    </row>
    <row r="28" spans="1:36" ht="12.75" customHeight="1">
      <c r="A28" s="40">
        <f t="shared" si="11"/>
        <v>11</v>
      </c>
      <c r="B28" s="40">
        <f t="shared" si="12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707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699</v>
      </c>
      <c r="P28" s="33">
        <v>2017</v>
      </c>
      <c r="Q28" s="30" t="s">
        <v>734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13"/>
        <v>Not Cost-Effective</v>
      </c>
      <c r="AB28" s="55">
        <f t="shared" si="8"/>
        <v>0.53117718600199304</v>
      </c>
      <c r="AC28" s="30" t="str">
        <f t="shared" si="9"/>
        <v>Cost-Effective</v>
      </c>
      <c r="AD28" s="55">
        <f t="shared" si="10"/>
        <v>7.9331657649648321E-2</v>
      </c>
      <c r="AE28" s="30" t="str">
        <f t="shared" si="14"/>
        <v>Not Cost-Effective</v>
      </c>
      <c r="AF28" s="30" t="s">
        <v>210</v>
      </c>
      <c r="AG28" s="30" t="s">
        <v>174</v>
      </c>
    </row>
    <row r="29" spans="1:36" ht="12.75" customHeight="1">
      <c r="A29" s="40">
        <f t="shared" si="11"/>
        <v>12</v>
      </c>
      <c r="B29" s="40">
        <f t="shared" si="12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705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13"/>
        <v>Cost-Effective</v>
      </c>
      <c r="AB29" s="55">
        <f t="shared" si="8"/>
        <v>0.63924009905265922</v>
      </c>
      <c r="AC29" s="30" t="str">
        <f t="shared" si="9"/>
        <v>Cost-Effective</v>
      </c>
      <c r="AD29" s="55">
        <f t="shared" si="10"/>
        <v>0.19146400126329965</v>
      </c>
      <c r="AE29" s="30" t="str">
        <f t="shared" si="14"/>
        <v>Cost-Effective</v>
      </c>
      <c r="AF29" s="30" t="s">
        <v>257</v>
      </c>
      <c r="AG29" s="30" t="s">
        <v>239</v>
      </c>
      <c r="AH29" s="30" t="s">
        <v>258</v>
      </c>
    </row>
    <row r="30" spans="1:36" ht="12.75" customHeight="1">
      <c r="A30" s="40">
        <f t="shared" si="11"/>
        <v>12</v>
      </c>
      <c r="B30" s="40">
        <f t="shared" si="12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705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13"/>
        <v>Cost-Effective</v>
      </c>
      <c r="AB30" s="55">
        <f t="shared" si="8"/>
        <v>0.63924009905265922</v>
      </c>
      <c r="AC30" s="30" t="str">
        <f t="shared" si="9"/>
        <v>Cost-Effective</v>
      </c>
      <c r="AD30" s="55">
        <f t="shared" si="10"/>
        <v>0.19146400126329965</v>
      </c>
      <c r="AE30" s="30" t="str">
        <f t="shared" si="14"/>
        <v>Cost-Effective</v>
      </c>
      <c r="AF30" s="30" t="s">
        <v>257</v>
      </c>
      <c r="AG30" s="30" t="s">
        <v>239</v>
      </c>
    </row>
    <row r="31" spans="1:36" ht="12.75" customHeight="1">
      <c r="A31" s="40">
        <f t="shared" si="11"/>
        <v>12</v>
      </c>
      <c r="B31" s="40">
        <f t="shared" si="12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707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13"/>
        <v>Cost-Effective</v>
      </c>
      <c r="AB31" s="55">
        <f t="shared" si="8"/>
        <v>0.63924009905265922</v>
      </c>
      <c r="AC31" s="30" t="str">
        <f t="shared" si="9"/>
        <v>Cost-Effective</v>
      </c>
      <c r="AD31" s="55">
        <f t="shared" si="10"/>
        <v>0.19146400126329965</v>
      </c>
      <c r="AE31" s="30" t="str">
        <f t="shared" si="14"/>
        <v>Cost-Effective</v>
      </c>
      <c r="AF31" s="30" t="s">
        <v>257</v>
      </c>
      <c r="AG31" s="30" t="s">
        <v>239</v>
      </c>
    </row>
    <row r="32" spans="1:36" ht="12.75" customHeight="1">
      <c r="A32" s="40">
        <f t="shared" si="11"/>
        <v>12</v>
      </c>
      <c r="B32" s="40">
        <f t="shared" si="12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707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13"/>
        <v>Cost-Effective</v>
      </c>
      <c r="AB32" s="55">
        <f t="shared" si="8"/>
        <v>0.63924009905265922</v>
      </c>
      <c r="AC32" s="30" t="str">
        <f t="shared" si="9"/>
        <v>Cost-Effective</v>
      </c>
      <c r="AD32" s="55">
        <f t="shared" si="10"/>
        <v>0.19146400126329965</v>
      </c>
      <c r="AE32" s="30" t="str">
        <f t="shared" si="14"/>
        <v>Cost-Effective</v>
      </c>
      <c r="AF32" s="30" t="s">
        <v>257</v>
      </c>
      <c r="AG32" s="30" t="s">
        <v>239</v>
      </c>
    </row>
    <row r="33" spans="1:33" ht="12.75" customHeight="1">
      <c r="A33" s="40">
        <f t="shared" si="11"/>
        <v>12</v>
      </c>
      <c r="B33" s="40">
        <f t="shared" si="12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705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13"/>
        <v>Not Cost-Effective</v>
      </c>
      <c r="AB33" s="55">
        <f t="shared" si="8"/>
        <v>0.63924009905265922</v>
      </c>
      <c r="AC33" s="30" t="str">
        <f t="shared" si="9"/>
        <v>Not Cost-Effective</v>
      </c>
      <c r="AD33" s="55">
        <f t="shared" si="10"/>
        <v>0.19146400126329965</v>
      </c>
      <c r="AE33" s="30" t="str">
        <f t="shared" si="14"/>
        <v>Not Cost-Effective</v>
      </c>
      <c r="AF33" s="30" t="s">
        <v>257</v>
      </c>
      <c r="AG33" s="30" t="s">
        <v>161</v>
      </c>
    </row>
    <row r="34" spans="1:33" ht="12.75" customHeight="1">
      <c r="A34" s="40">
        <f t="shared" si="11"/>
        <v>12</v>
      </c>
      <c r="B34" s="40">
        <f t="shared" si="12"/>
        <v>6</v>
      </c>
      <c r="C34" s="51" t="str">
        <f t="shared" si="0"/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705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si="1"/>
        <v>7296.8796080000002</v>
      </c>
      <c r="U34" s="30" t="str">
        <f t="shared" si="2"/>
        <v>Cost-Effective</v>
      </c>
      <c r="V34" s="30" t="str">
        <f t="shared" si="3"/>
        <v>Cost-Effective</v>
      </c>
      <c r="W34" s="41">
        <f t="shared" si="4"/>
        <v>0.72291412093229457</v>
      </c>
      <c r="X34" s="55">
        <f t="shared" si="5"/>
        <v>1.1200000000000001</v>
      </c>
      <c r="Y34" s="30" t="str">
        <f t="shared" si="6"/>
        <v>Cost-Effective</v>
      </c>
      <c r="Z34" s="55">
        <f t="shared" si="7"/>
        <v>0.7</v>
      </c>
      <c r="AA34" s="30" t="str">
        <f t="shared" si="13"/>
        <v>Not Cost-Effective</v>
      </c>
      <c r="AB34" s="55">
        <f t="shared" si="8"/>
        <v>0.63924009905265922</v>
      </c>
      <c r="AC34" s="30" t="str">
        <f t="shared" si="9"/>
        <v>Not Cost-Effective</v>
      </c>
      <c r="AD34" s="55">
        <f t="shared" si="10"/>
        <v>0.19146400126329965</v>
      </c>
      <c r="AE34" s="30" t="str">
        <f t="shared" si="14"/>
        <v>Not Cost-Effective</v>
      </c>
      <c r="AF34" s="30" t="s">
        <v>257</v>
      </c>
      <c r="AG34" s="30" t="s">
        <v>161</v>
      </c>
    </row>
    <row r="35" spans="1:33" ht="12.75" customHeight="1">
      <c r="A35" s="40">
        <f t="shared" si="11"/>
        <v>12</v>
      </c>
      <c r="B35" s="40">
        <f t="shared" si="12"/>
        <v>7</v>
      </c>
      <c r="C35" s="51" t="str">
        <f t="shared" si="0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707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"/>
        <v>7296.8796080000002</v>
      </c>
      <c r="U35" s="30" t="str">
        <f t="shared" si="2"/>
        <v>Cost-Effective</v>
      </c>
      <c r="V35" s="30" t="str">
        <f t="shared" si="3"/>
        <v>Cost-Effective</v>
      </c>
      <c r="W35" s="41">
        <f t="shared" si="4"/>
        <v>0.41256965112600757</v>
      </c>
      <c r="X35" s="55">
        <f t="shared" si="5"/>
        <v>1.1200000000000001</v>
      </c>
      <c r="Y35" s="30" t="str">
        <f t="shared" si="6"/>
        <v>Cost-Effective</v>
      </c>
      <c r="Z35" s="55">
        <f t="shared" si="7"/>
        <v>0.7</v>
      </c>
      <c r="AA35" s="30" t="str">
        <f t="shared" si="13"/>
        <v>Cost-Effective</v>
      </c>
      <c r="AB35" s="55">
        <f t="shared" si="8"/>
        <v>0.63924009905265922</v>
      </c>
      <c r="AC35" s="30" t="str">
        <f t="shared" si="9"/>
        <v>Cost-Effective</v>
      </c>
      <c r="AD35" s="55">
        <f t="shared" si="10"/>
        <v>0.19146400126329965</v>
      </c>
      <c r="AE35" s="30" t="str">
        <f t="shared" si="14"/>
        <v>Not Cost-Effective</v>
      </c>
      <c r="AF35" s="30" t="s">
        <v>257</v>
      </c>
      <c r="AG35" s="30" t="s">
        <v>174</v>
      </c>
    </row>
    <row r="36" spans="1:33" ht="12.75" customHeight="1">
      <c r="A36" s="40">
        <f t="shared" si="11"/>
        <v>12</v>
      </c>
      <c r="B36" s="40">
        <f t="shared" si="12"/>
        <v>8</v>
      </c>
      <c r="C36" s="51" t="str">
        <f t="shared" si="0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707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"/>
        <v>7296.8796080000002</v>
      </c>
      <c r="U36" s="30" t="str">
        <f t="shared" si="2"/>
        <v>Cost-Effective</v>
      </c>
      <c r="V36" s="30" t="str">
        <f t="shared" si="3"/>
        <v>Cost-Effective</v>
      </c>
      <c r="W36" s="41">
        <f t="shared" si="4"/>
        <v>0.31249068538853575</v>
      </c>
      <c r="X36" s="55">
        <f t="shared" si="5"/>
        <v>1.1200000000000001</v>
      </c>
      <c r="Y36" s="30" t="str">
        <f t="shared" si="6"/>
        <v>Cost-Effective</v>
      </c>
      <c r="Z36" s="55">
        <f t="shared" si="7"/>
        <v>0.7</v>
      </c>
      <c r="AA36" s="30" t="str">
        <f t="shared" si="13"/>
        <v>Cost-Effective</v>
      </c>
      <c r="AB36" s="55">
        <f t="shared" si="8"/>
        <v>0.63924009905265922</v>
      </c>
      <c r="AC36" s="30" t="str">
        <f t="shared" si="9"/>
        <v>Cost-Effective</v>
      </c>
      <c r="AD36" s="55">
        <f t="shared" si="10"/>
        <v>0.19146400126329965</v>
      </c>
      <c r="AE36" s="30" t="str">
        <f t="shared" si="14"/>
        <v>Not Cost-Effective</v>
      </c>
      <c r="AF36" s="30" t="s">
        <v>257</v>
      </c>
      <c r="AG36" s="30" t="s">
        <v>174</v>
      </c>
    </row>
    <row r="37" spans="1:33" ht="12.75" customHeight="1">
      <c r="A37" s="40">
        <f t="shared" si="11"/>
        <v>13</v>
      </c>
      <c r="B37" s="40">
        <f t="shared" si="12"/>
        <v>1</v>
      </c>
      <c r="C37" s="51" t="str">
        <f t="shared" si="0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705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"/>
        <v>5076.3398719999996</v>
      </c>
      <c r="U37" s="30" t="str">
        <f t="shared" si="2"/>
        <v>Not Cost-Effective</v>
      </c>
      <c r="V37" s="30" t="str">
        <f t="shared" si="3"/>
        <v>Not Cost-Effective</v>
      </c>
      <c r="W37" s="41">
        <f t="shared" si="4"/>
        <v>3.2291412559487336</v>
      </c>
      <c r="X37" s="55">
        <f t="shared" si="5"/>
        <v>1.1200000000000001</v>
      </c>
      <c r="Y37" s="30" t="str">
        <f t="shared" si="6"/>
        <v>Not Cost-Effective</v>
      </c>
      <c r="Z37" s="55">
        <f t="shared" si="7"/>
        <v>0.7</v>
      </c>
      <c r="AA37" s="30" t="str">
        <f t="shared" si="13"/>
        <v>Not Cost-Effective</v>
      </c>
      <c r="AB37" s="55">
        <f t="shared" si="8"/>
        <v>0.63924009905265922</v>
      </c>
      <c r="AC37" s="30" t="str">
        <f t="shared" si="9"/>
        <v>Not Cost-Effective</v>
      </c>
      <c r="AD37" s="55">
        <f t="shared" si="10"/>
        <v>0.19146400126329965</v>
      </c>
      <c r="AE37" s="30" t="str">
        <f t="shared" si="14"/>
        <v>Not Cost-Effective</v>
      </c>
      <c r="AF37" s="30" t="s">
        <v>275</v>
      </c>
      <c r="AG37" s="30" t="s">
        <v>161</v>
      </c>
    </row>
    <row r="38" spans="1:33" ht="12.75" customHeight="1">
      <c r="A38" s="40">
        <f t="shared" si="11"/>
        <v>13</v>
      </c>
      <c r="B38" s="40">
        <f t="shared" si="12"/>
        <v>2</v>
      </c>
      <c r="C38" s="51" t="str">
        <f t="shared" si="0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705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"/>
        <v>5076.3398719999996</v>
      </c>
      <c r="U38" s="30" t="str">
        <f t="shared" si="2"/>
        <v>Not Cost-Effective</v>
      </c>
      <c r="V38" s="30" t="str">
        <f t="shared" si="3"/>
        <v>Not Cost-Effective</v>
      </c>
      <c r="W38" s="41">
        <f t="shared" si="4"/>
        <v>4.0416380309857054</v>
      </c>
      <c r="X38" s="55">
        <f t="shared" si="5"/>
        <v>1.1200000000000001</v>
      </c>
      <c r="Y38" s="30" t="str">
        <f t="shared" si="6"/>
        <v>Not Cost-Effective</v>
      </c>
      <c r="Z38" s="55">
        <f t="shared" si="7"/>
        <v>0.7</v>
      </c>
      <c r="AA38" s="30" t="str">
        <f t="shared" si="13"/>
        <v>Not Cost-Effective</v>
      </c>
      <c r="AB38" s="55">
        <f t="shared" si="8"/>
        <v>0.63924009905265922</v>
      </c>
      <c r="AC38" s="30" t="str">
        <f t="shared" si="9"/>
        <v>Not Cost-Effective</v>
      </c>
      <c r="AD38" s="55">
        <f t="shared" si="10"/>
        <v>0.19146400126329965</v>
      </c>
      <c r="AE38" s="30" t="str">
        <f t="shared" si="14"/>
        <v>Not Cost-Effective</v>
      </c>
      <c r="AF38" s="30" t="s">
        <v>275</v>
      </c>
      <c r="AG38" s="30" t="s">
        <v>161</v>
      </c>
    </row>
    <row r="39" spans="1:33" ht="12.75" customHeight="1">
      <c r="A39" s="40">
        <f t="shared" si="11"/>
        <v>13</v>
      </c>
      <c r="B39" s="40">
        <f t="shared" si="12"/>
        <v>3</v>
      </c>
      <c r="C39" s="51" t="str">
        <f t="shared" si="0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705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"/>
        <v>5076.3398719999996</v>
      </c>
      <c r="U39" s="30" t="str">
        <f t="shared" si="2"/>
        <v>Not Cost-Effective</v>
      </c>
      <c r="V39" s="30" t="str">
        <f t="shared" si="3"/>
        <v>Not Cost-Effective</v>
      </c>
      <c r="W39" s="41">
        <f t="shared" si="4"/>
        <v>8.5054028527361343</v>
      </c>
      <c r="X39" s="55">
        <f t="shared" si="5"/>
        <v>1.1200000000000001</v>
      </c>
      <c r="Y39" s="30" t="str">
        <f t="shared" si="6"/>
        <v>Not Cost-Effective</v>
      </c>
      <c r="Z39" s="55">
        <f t="shared" si="7"/>
        <v>0.7</v>
      </c>
      <c r="AA39" s="30" t="str">
        <f t="shared" si="13"/>
        <v>Not Cost-Effective</v>
      </c>
      <c r="AB39" s="55">
        <f t="shared" si="8"/>
        <v>0.63924009905265922</v>
      </c>
      <c r="AC39" s="30" t="str">
        <f t="shared" si="9"/>
        <v>Not Cost-Effective</v>
      </c>
      <c r="AD39" s="55">
        <f t="shared" si="10"/>
        <v>0.19146400126329965</v>
      </c>
      <c r="AE39" s="30" t="str">
        <f t="shared" si="14"/>
        <v>Not Cost-Effective</v>
      </c>
      <c r="AF39" s="30" t="s">
        <v>275</v>
      </c>
      <c r="AG39" s="30" t="s">
        <v>161</v>
      </c>
    </row>
    <row r="40" spans="1:33" ht="12.75" customHeight="1">
      <c r="A40" s="40">
        <f t="shared" si="11"/>
        <v>13</v>
      </c>
      <c r="B40" s="40">
        <f t="shared" si="12"/>
        <v>4</v>
      </c>
      <c r="C40" s="51" t="str">
        <f t="shared" si="0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705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"/>
        <v>5076.3398719999996</v>
      </c>
      <c r="U40" s="30" t="str">
        <f t="shared" si="2"/>
        <v>Not Cost-Effective</v>
      </c>
      <c r="V40" s="30" t="str">
        <f t="shared" si="3"/>
        <v>Not Cost-Effective</v>
      </c>
      <c r="W40" s="41">
        <f t="shared" si="4"/>
        <v>10.428386906332186</v>
      </c>
      <c r="X40" s="55">
        <f t="shared" si="5"/>
        <v>1.1200000000000001</v>
      </c>
      <c r="Y40" s="30" t="str">
        <f t="shared" si="6"/>
        <v>Not Cost-Effective</v>
      </c>
      <c r="Z40" s="55">
        <f t="shared" si="7"/>
        <v>0.7</v>
      </c>
      <c r="AA40" s="30" t="str">
        <f t="shared" si="13"/>
        <v>Not Cost-Effective</v>
      </c>
      <c r="AB40" s="55">
        <f t="shared" si="8"/>
        <v>0.63924009905265922</v>
      </c>
      <c r="AC40" s="30" t="str">
        <f t="shared" si="9"/>
        <v>Not Cost-Effective</v>
      </c>
      <c r="AD40" s="55">
        <f t="shared" si="10"/>
        <v>0.19146400126329965</v>
      </c>
      <c r="AE40" s="30" t="str">
        <f t="shared" si="14"/>
        <v>Not Cost-Effective</v>
      </c>
      <c r="AF40" s="30" t="s">
        <v>275</v>
      </c>
      <c r="AG40" s="30" t="s">
        <v>161</v>
      </c>
    </row>
    <row r="41" spans="1:33" ht="12.75" customHeight="1">
      <c r="A41" s="40">
        <f t="shared" si="11"/>
        <v>13</v>
      </c>
      <c r="B41" s="40">
        <f t="shared" si="12"/>
        <v>5</v>
      </c>
      <c r="C41" s="51" t="str">
        <f t="shared" si="0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707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"/>
        <v>5076.3398719999996</v>
      </c>
      <c r="U41" s="30" t="str">
        <f t="shared" si="2"/>
        <v>Not Cost-Effective</v>
      </c>
      <c r="V41" s="30" t="str">
        <f t="shared" si="3"/>
        <v>Not Cost-Effective</v>
      </c>
      <c r="W41" s="41">
        <f t="shared" si="4"/>
        <v>3.2787472776800324</v>
      </c>
      <c r="X41" s="55">
        <f t="shared" si="5"/>
        <v>1.1200000000000001</v>
      </c>
      <c r="Y41" s="30" t="str">
        <f t="shared" si="6"/>
        <v>Not Cost-Effective</v>
      </c>
      <c r="Z41" s="55">
        <f t="shared" si="7"/>
        <v>0.7</v>
      </c>
      <c r="AA41" s="30" t="str">
        <f t="shared" si="13"/>
        <v>Not Cost-Effective</v>
      </c>
      <c r="AB41" s="55">
        <f t="shared" si="8"/>
        <v>0.63924009905265922</v>
      </c>
      <c r="AC41" s="30" t="str">
        <f t="shared" si="9"/>
        <v>Not Cost-Effective</v>
      </c>
      <c r="AD41" s="55">
        <f t="shared" si="10"/>
        <v>0.19146400126329965</v>
      </c>
      <c r="AE41" s="30" t="str">
        <f t="shared" si="14"/>
        <v>Not Cost-Effective</v>
      </c>
      <c r="AF41" s="30" t="s">
        <v>275</v>
      </c>
      <c r="AG41" s="30" t="s">
        <v>161</v>
      </c>
    </row>
    <row r="42" spans="1:33" ht="12.75" customHeight="1">
      <c r="A42" s="40">
        <f t="shared" si="11"/>
        <v>13</v>
      </c>
      <c r="B42" s="40">
        <f t="shared" si="12"/>
        <v>6</v>
      </c>
      <c r="C42" s="51" t="str">
        <f t="shared" si="0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707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"/>
        <v>5076.3398719999996</v>
      </c>
      <c r="U42" s="30" t="str">
        <f t="shared" si="2"/>
        <v>Not Cost-Effective</v>
      </c>
      <c r="V42" s="30" t="str">
        <f t="shared" si="3"/>
        <v>Not Cost-Effective</v>
      </c>
      <c r="W42" s="41">
        <f t="shared" si="4"/>
        <v>4.1073835730095789</v>
      </c>
      <c r="X42" s="55">
        <f t="shared" si="5"/>
        <v>1.1200000000000001</v>
      </c>
      <c r="Y42" s="30" t="str">
        <f t="shared" si="6"/>
        <v>Not Cost-Effective</v>
      </c>
      <c r="Z42" s="55">
        <f t="shared" si="7"/>
        <v>0.7</v>
      </c>
      <c r="AA42" s="30" t="str">
        <f t="shared" si="13"/>
        <v>Not Cost-Effective</v>
      </c>
      <c r="AB42" s="55">
        <f t="shared" si="8"/>
        <v>0.63924009905265922</v>
      </c>
      <c r="AC42" s="30" t="str">
        <f t="shared" si="9"/>
        <v>Not Cost-Effective</v>
      </c>
      <c r="AD42" s="55">
        <f t="shared" si="10"/>
        <v>0.19146400126329965</v>
      </c>
      <c r="AE42" s="30" t="str">
        <f t="shared" si="14"/>
        <v>Not Cost-Effective</v>
      </c>
      <c r="AF42" s="30" t="s">
        <v>275</v>
      </c>
      <c r="AG42" s="30" t="s">
        <v>161</v>
      </c>
    </row>
    <row r="43" spans="1:33" ht="12.75" customHeight="1">
      <c r="A43" s="40">
        <f t="shared" si="11"/>
        <v>13</v>
      </c>
      <c r="B43" s="40">
        <f t="shared" si="12"/>
        <v>7</v>
      </c>
      <c r="C43" s="51" t="str">
        <f t="shared" si="0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707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"/>
        <v>5076.3398719999996</v>
      </c>
      <c r="U43" s="30" t="str">
        <f t="shared" si="2"/>
        <v>Not Cost-Effective</v>
      </c>
      <c r="V43" s="30" t="str">
        <f t="shared" si="3"/>
        <v>Not Cost-Effective</v>
      </c>
      <c r="W43" s="41">
        <f t="shared" si="4"/>
        <v>9.2653342795166669</v>
      </c>
      <c r="X43" s="55">
        <f t="shared" si="5"/>
        <v>1.1200000000000001</v>
      </c>
      <c r="Y43" s="30" t="str">
        <f t="shared" si="6"/>
        <v>Not Cost-Effective</v>
      </c>
      <c r="Z43" s="55">
        <f t="shared" si="7"/>
        <v>0.7</v>
      </c>
      <c r="AA43" s="30" t="str">
        <f t="shared" si="13"/>
        <v>Not Cost-Effective</v>
      </c>
      <c r="AB43" s="55">
        <f t="shared" si="8"/>
        <v>0.63924009905265922</v>
      </c>
      <c r="AC43" s="30" t="str">
        <f t="shared" si="9"/>
        <v>Not Cost-Effective</v>
      </c>
      <c r="AD43" s="55">
        <f t="shared" si="10"/>
        <v>0.19146400126329965</v>
      </c>
      <c r="AE43" s="30" t="str">
        <f t="shared" si="14"/>
        <v>Not Cost-Effective</v>
      </c>
      <c r="AF43" s="30" t="s">
        <v>275</v>
      </c>
      <c r="AG43" s="30" t="s">
        <v>161</v>
      </c>
    </row>
    <row r="44" spans="1:33" ht="12.75" customHeight="1">
      <c r="A44" s="40">
        <f t="shared" si="11"/>
        <v>13</v>
      </c>
      <c r="B44" s="40">
        <f t="shared" si="12"/>
        <v>8</v>
      </c>
      <c r="C44" s="51" t="str">
        <f t="shared" si="0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707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"/>
        <v>5076.3398719999996</v>
      </c>
      <c r="U44" s="30" t="str">
        <f t="shared" si="2"/>
        <v>Not Cost-Effective</v>
      </c>
      <c r="V44" s="30" t="str">
        <f t="shared" si="3"/>
        <v>Not Cost-Effective</v>
      </c>
      <c r="W44" s="41">
        <f t="shared" si="4"/>
        <v>11.381694157142086</v>
      </c>
      <c r="X44" s="55">
        <f t="shared" si="5"/>
        <v>1.1200000000000001</v>
      </c>
      <c r="Y44" s="30" t="str">
        <f t="shared" si="6"/>
        <v>Not Cost-Effective</v>
      </c>
      <c r="Z44" s="55">
        <f t="shared" si="7"/>
        <v>0.7</v>
      </c>
      <c r="AA44" s="30" t="str">
        <f t="shared" si="13"/>
        <v>Not Cost-Effective</v>
      </c>
      <c r="AB44" s="55">
        <f t="shared" si="8"/>
        <v>0.63924009905265922</v>
      </c>
      <c r="AC44" s="30" t="str">
        <f t="shared" si="9"/>
        <v>Not Cost-Effective</v>
      </c>
      <c r="AD44" s="55">
        <f t="shared" si="10"/>
        <v>0.19146400126329965</v>
      </c>
      <c r="AE44" s="30" t="str">
        <f t="shared" si="14"/>
        <v>Not Cost-Effective</v>
      </c>
      <c r="AF44" s="30" t="s">
        <v>275</v>
      </c>
      <c r="AG44" s="30" t="s">
        <v>161</v>
      </c>
    </row>
    <row r="45" spans="1:33" ht="12.75" customHeight="1">
      <c r="A45" s="40">
        <f t="shared" si="11"/>
        <v>14</v>
      </c>
      <c r="B45" s="40">
        <f t="shared" si="12"/>
        <v>1</v>
      </c>
      <c r="C45" s="51" t="str">
        <f t="shared" si="0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705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735</v>
      </c>
      <c r="R45" s="35">
        <v>68182</v>
      </c>
      <c r="S45" s="32">
        <f>R45/xRates!$S$157</f>
        <v>1606.3163337763128</v>
      </c>
      <c r="T45" s="32">
        <f t="shared" si="1"/>
        <v>2871.4297013483701</v>
      </c>
      <c r="U45" s="30" t="str">
        <f t="shared" si="2"/>
        <v>Cost-Effective</v>
      </c>
      <c r="V45" s="30" t="str">
        <f t="shared" si="3"/>
        <v>Cost-Effective</v>
      </c>
      <c r="W45" s="41">
        <f t="shared" si="4"/>
        <v>0.55941342844716568</v>
      </c>
      <c r="X45" s="55">
        <f t="shared" si="5"/>
        <v>0.34</v>
      </c>
      <c r="Y45" s="30" t="str">
        <f t="shared" si="6"/>
        <v>Not Cost-Effective</v>
      </c>
      <c r="Z45" s="55">
        <f t="shared" si="7"/>
        <v>0.23</v>
      </c>
      <c r="AA45" s="30" t="str">
        <f t="shared" si="13"/>
        <v>Not Cost-Effective</v>
      </c>
      <c r="AB45" s="55">
        <f t="shared" si="8"/>
        <v>0.49487542715488553</v>
      </c>
      <c r="AC45" s="30" t="str">
        <f t="shared" si="9"/>
        <v>Not Cost-Effective</v>
      </c>
      <c r="AD45" s="55">
        <f t="shared" si="10"/>
        <v>8.9154193773153201E-2</v>
      </c>
      <c r="AE45" s="30" t="str">
        <f t="shared" si="14"/>
        <v>Not Cost-Effective</v>
      </c>
      <c r="AF45" s="30" t="s">
        <v>736</v>
      </c>
      <c r="AG45" s="30" t="s">
        <v>174</v>
      </c>
    </row>
    <row r="46" spans="1:33" ht="12.75" customHeight="1">
      <c r="A46" s="40">
        <f t="shared" si="11"/>
        <v>14</v>
      </c>
      <c r="B46" s="40">
        <f t="shared" si="12"/>
        <v>2</v>
      </c>
      <c r="C46" s="51" t="str">
        <f t="shared" si="0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705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737</v>
      </c>
      <c r="R46" s="35">
        <v>112640</v>
      </c>
      <c r="S46" s="32">
        <f>R46/xRates!$S$157</f>
        <v>2653.7131770344645</v>
      </c>
      <c r="T46" s="32">
        <f t="shared" si="1"/>
        <v>2871.4297013483701</v>
      </c>
      <c r="U46" s="30" t="str">
        <f t="shared" si="2"/>
        <v>Cost-Effective</v>
      </c>
      <c r="V46" s="30" t="str">
        <f t="shared" si="3"/>
        <v>Cost-Effective</v>
      </c>
      <c r="W46" s="41">
        <f t="shared" si="4"/>
        <v>0.92417835470195564</v>
      </c>
      <c r="X46" s="55">
        <f t="shared" si="5"/>
        <v>0.34</v>
      </c>
      <c r="Y46" s="30" t="str">
        <f t="shared" si="6"/>
        <v>Not Cost-Effective</v>
      </c>
      <c r="Z46" s="55">
        <f t="shared" si="7"/>
        <v>0.23</v>
      </c>
      <c r="AA46" s="30" t="str">
        <f t="shared" si="13"/>
        <v>Not Cost-Effective</v>
      </c>
      <c r="AB46" s="55">
        <f t="shared" si="8"/>
        <v>0.49487542715488553</v>
      </c>
      <c r="AC46" s="30" t="str">
        <f t="shared" si="9"/>
        <v>Not Cost-Effective</v>
      </c>
      <c r="AD46" s="55">
        <f t="shared" si="10"/>
        <v>8.9154193773153201E-2</v>
      </c>
      <c r="AE46" s="30" t="str">
        <f t="shared" si="14"/>
        <v>Not Cost-Effective</v>
      </c>
      <c r="AF46" s="30" t="s">
        <v>736</v>
      </c>
      <c r="AG46" s="30" t="s">
        <v>174</v>
      </c>
    </row>
    <row r="47" spans="1:33" ht="12.75" customHeight="1">
      <c r="A47" s="40">
        <f t="shared" si="11"/>
        <v>14</v>
      </c>
      <c r="B47" s="40">
        <f t="shared" si="12"/>
        <v>3</v>
      </c>
      <c r="C47" s="51" t="str">
        <f t="shared" si="0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707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738</v>
      </c>
      <c r="R47" s="35">
        <v>54510</v>
      </c>
      <c r="S47" s="32">
        <f>R47/xRates!$S$157</f>
        <v>1284.2143579558654</v>
      </c>
      <c r="T47" s="32">
        <f t="shared" si="1"/>
        <v>2871.4297013483701</v>
      </c>
      <c r="U47" s="30" t="str">
        <f t="shared" si="2"/>
        <v>Cost-Effective</v>
      </c>
      <c r="V47" s="30" t="str">
        <f t="shared" si="3"/>
        <v>Cost-Effective</v>
      </c>
      <c r="W47" s="41">
        <f t="shared" si="4"/>
        <v>0.44723865513852634</v>
      </c>
      <c r="X47" s="55">
        <f t="shared" si="5"/>
        <v>0.34</v>
      </c>
      <c r="Y47" s="30" t="str">
        <f t="shared" si="6"/>
        <v>Not Cost-Effective</v>
      </c>
      <c r="Z47" s="55">
        <f t="shared" si="7"/>
        <v>0.23</v>
      </c>
      <c r="AA47" s="30" t="str">
        <f t="shared" si="13"/>
        <v>Not Cost-Effective</v>
      </c>
      <c r="AB47" s="55">
        <f t="shared" si="8"/>
        <v>0.49487542715488553</v>
      </c>
      <c r="AC47" s="30" t="str">
        <f t="shared" si="9"/>
        <v>Cost-Effective</v>
      </c>
      <c r="AD47" s="55">
        <f t="shared" si="10"/>
        <v>8.9154193773153201E-2</v>
      </c>
      <c r="AE47" s="30" t="str">
        <f t="shared" si="14"/>
        <v>Not Cost-Effective</v>
      </c>
      <c r="AF47" s="30" t="s">
        <v>736</v>
      </c>
      <c r="AG47" s="30" t="s">
        <v>174</v>
      </c>
    </row>
    <row r="48" spans="1:33" ht="12.75" customHeight="1">
      <c r="A48" s="40">
        <f t="shared" si="11"/>
        <v>14</v>
      </c>
      <c r="B48" s="40">
        <f t="shared" si="12"/>
        <v>4</v>
      </c>
      <c r="C48" s="51" t="str">
        <f t="shared" si="0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707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739</v>
      </c>
      <c r="R48" s="35">
        <v>84654</v>
      </c>
      <c r="S48" s="32">
        <f>R48/xRates!$S$157</f>
        <v>1994.3841911281568</v>
      </c>
      <c r="T48" s="32">
        <f t="shared" si="1"/>
        <v>2871.4297013483701</v>
      </c>
      <c r="U48" s="30" t="str">
        <f t="shared" si="2"/>
        <v>Cost-Effective</v>
      </c>
      <c r="V48" s="30" t="str">
        <f t="shared" si="3"/>
        <v>Cost-Effective</v>
      </c>
      <c r="W48" s="41">
        <f t="shared" si="4"/>
        <v>0.69456138528887923</v>
      </c>
      <c r="X48" s="55">
        <f t="shared" si="5"/>
        <v>0.34</v>
      </c>
      <c r="Y48" s="30" t="str">
        <f t="shared" si="6"/>
        <v>Not Cost-Effective</v>
      </c>
      <c r="Z48" s="55">
        <f t="shared" si="7"/>
        <v>0.23</v>
      </c>
      <c r="AA48" s="30" t="str">
        <f t="shared" si="13"/>
        <v>Not Cost-Effective</v>
      </c>
      <c r="AB48" s="55">
        <f t="shared" si="8"/>
        <v>0.49487542715488553</v>
      </c>
      <c r="AC48" s="30" t="str">
        <f t="shared" si="9"/>
        <v>Not Cost-Effective</v>
      </c>
      <c r="AD48" s="55">
        <f t="shared" si="10"/>
        <v>8.9154193773153201E-2</v>
      </c>
      <c r="AE48" s="30" t="str">
        <f t="shared" si="14"/>
        <v>Not Cost-Effective</v>
      </c>
      <c r="AF48" s="30" t="s">
        <v>736</v>
      </c>
      <c r="AG48" s="30" t="s">
        <v>174</v>
      </c>
    </row>
    <row r="49" spans="1:34" ht="12.75" customHeight="1">
      <c r="A49" s="40">
        <f t="shared" si="11"/>
        <v>14</v>
      </c>
      <c r="B49" s="40">
        <f t="shared" si="12"/>
        <v>5</v>
      </c>
      <c r="C49" s="51" t="str">
        <f t="shared" si="0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729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740</v>
      </c>
      <c r="R49" s="35">
        <v>15795</v>
      </c>
      <c r="S49" s="32">
        <f>R49/xRates!$S$157</f>
        <v>372.11824956728844</v>
      </c>
      <c r="T49" s="32">
        <f t="shared" si="1"/>
        <v>2871.4297013483701</v>
      </c>
      <c r="U49" s="30" t="str">
        <f t="shared" si="2"/>
        <v>Cost-Effective</v>
      </c>
      <c r="V49" s="30" t="str">
        <f t="shared" si="3"/>
        <v>Cost-Effective</v>
      </c>
      <c r="W49" s="41">
        <f t="shared" si="4"/>
        <v>0.12959336925175241</v>
      </c>
      <c r="X49" s="55">
        <f t="shared" si="5"/>
        <v>0.34</v>
      </c>
      <c r="Y49" s="30" t="str">
        <f t="shared" si="6"/>
        <v>Cost-Effective</v>
      </c>
      <c r="Z49" s="55">
        <f t="shared" si="7"/>
        <v>0.23</v>
      </c>
      <c r="AA49" s="30" t="str">
        <f t="shared" si="13"/>
        <v>Cost-Effective</v>
      </c>
      <c r="AB49" s="55">
        <f t="shared" si="8"/>
        <v>0.49487542715488553</v>
      </c>
      <c r="AC49" s="30" t="str">
        <f t="shared" si="9"/>
        <v>Cost-Effective</v>
      </c>
      <c r="AD49" s="55">
        <f t="shared" si="10"/>
        <v>8.9154193773153201E-2</v>
      </c>
      <c r="AE49" s="30" t="str">
        <f t="shared" si="14"/>
        <v>Not Cost-Effective</v>
      </c>
      <c r="AF49" s="30" t="s">
        <v>736</v>
      </c>
      <c r="AG49" s="30" t="s">
        <v>174</v>
      </c>
    </row>
    <row r="50" spans="1:34" ht="12.75" customHeight="1">
      <c r="A50" s="40">
        <f t="shared" si="11"/>
        <v>14</v>
      </c>
      <c r="B50" s="40">
        <f t="shared" si="12"/>
        <v>6</v>
      </c>
      <c r="C50" s="51" t="str">
        <f t="shared" si="0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729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741</v>
      </c>
      <c r="R50" s="35">
        <v>23836</v>
      </c>
      <c r="S50" s="32">
        <f>R50/xRates!$S$157</f>
        <v>561.55812577941674</v>
      </c>
      <c r="T50" s="32">
        <f t="shared" si="1"/>
        <v>2871.4297013483701</v>
      </c>
      <c r="U50" s="30" t="str">
        <f t="shared" si="2"/>
        <v>Cost-Effective</v>
      </c>
      <c r="V50" s="30" t="str">
        <f t="shared" si="3"/>
        <v>Cost-Effective</v>
      </c>
      <c r="W50" s="41">
        <f t="shared" si="4"/>
        <v>0.19556742953369866</v>
      </c>
      <c r="X50" s="55">
        <f t="shared" si="5"/>
        <v>0.34</v>
      </c>
      <c r="Y50" s="30" t="str">
        <f t="shared" si="6"/>
        <v>Cost-Effective</v>
      </c>
      <c r="Z50" s="55">
        <f t="shared" si="7"/>
        <v>0.23</v>
      </c>
      <c r="AA50" s="30" t="str">
        <f t="shared" si="13"/>
        <v>Cost-Effective</v>
      </c>
      <c r="AB50" s="55">
        <f t="shared" si="8"/>
        <v>0.49487542715488553</v>
      </c>
      <c r="AC50" s="30" t="str">
        <f t="shared" si="9"/>
        <v>Cost-Effective</v>
      </c>
      <c r="AD50" s="55">
        <f t="shared" si="10"/>
        <v>8.9154193773153201E-2</v>
      </c>
      <c r="AE50" s="30" t="str">
        <f t="shared" si="14"/>
        <v>Not Cost-Effective</v>
      </c>
      <c r="AF50" s="30" t="s">
        <v>736</v>
      </c>
      <c r="AG50" s="30" t="s">
        <v>174</v>
      </c>
    </row>
    <row r="51" spans="1:34" ht="12.75" customHeight="1">
      <c r="A51" s="40">
        <f t="shared" si="11"/>
        <v>15</v>
      </c>
      <c r="B51" s="40">
        <f t="shared" si="12"/>
        <v>1</v>
      </c>
      <c r="C51" s="51" t="str">
        <f t="shared" si="0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705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742</v>
      </c>
      <c r="R51" s="35">
        <v>50913</v>
      </c>
      <c r="S51" s="32">
        <f>R51/xRates!$R$157</f>
        <v>1205.6465338299274</v>
      </c>
      <c r="T51" s="32">
        <f t="shared" si="1"/>
        <v>2694.3051089999999</v>
      </c>
      <c r="U51" s="30" t="str">
        <f t="shared" si="2"/>
        <v>Cost-Effective</v>
      </c>
      <c r="V51" s="30" t="str">
        <f t="shared" si="3"/>
        <v>Cost-Effective</v>
      </c>
      <c r="W51" s="41">
        <f t="shared" si="4"/>
        <v>0.44747958566481993</v>
      </c>
      <c r="X51" s="55">
        <f t="shared" si="5"/>
        <v>0.34</v>
      </c>
      <c r="Y51" s="30" t="str">
        <f t="shared" si="6"/>
        <v>Not Cost-Effective</v>
      </c>
      <c r="Z51" s="55">
        <f t="shared" si="7"/>
        <v>0.23</v>
      </c>
      <c r="AA51" s="30" t="str">
        <f t="shared" si="13"/>
        <v>Not Cost-Effective</v>
      </c>
      <c r="AB51" s="55">
        <f t="shared" si="8"/>
        <v>0.49487542715488553</v>
      </c>
      <c r="AC51" s="30" t="str">
        <f t="shared" si="9"/>
        <v>Cost-Effective</v>
      </c>
      <c r="AD51" s="55">
        <f t="shared" si="10"/>
        <v>8.9154193773153201E-2</v>
      </c>
      <c r="AE51" s="30" t="str">
        <f t="shared" si="14"/>
        <v>Not Cost-Effective</v>
      </c>
      <c r="AF51" s="30" t="s">
        <v>210</v>
      </c>
      <c r="AG51" s="30" t="s">
        <v>174</v>
      </c>
    </row>
    <row r="52" spans="1:34" s="64" customFormat="1" ht="12.75" customHeight="1">
      <c r="A52" s="63">
        <f t="shared" si="11"/>
        <v>15</v>
      </c>
      <c r="B52" s="63">
        <f t="shared" si="12"/>
        <v>2</v>
      </c>
      <c r="C52" s="71" t="str">
        <f t="shared" si="0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719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743</v>
      </c>
      <c r="R52" s="66">
        <v>310274.65999999997</v>
      </c>
      <c r="S52" s="74">
        <f>R52/xRates!$R$157</f>
        <v>7347.4666266819713</v>
      </c>
      <c r="T52" s="74">
        <f t="shared" si="1"/>
        <v>2694.3051089999999</v>
      </c>
      <c r="U52" s="64" t="str">
        <f t="shared" si="2"/>
        <v>Not Cost-Effective</v>
      </c>
      <c r="V52" s="64" t="str">
        <f t="shared" si="3"/>
        <v>Cost-Effective</v>
      </c>
      <c r="W52" s="75">
        <f t="shared" si="4"/>
        <v>2.7270358513364537</v>
      </c>
      <c r="X52" s="76">
        <f t="shared" si="5"/>
        <v>0.34</v>
      </c>
      <c r="Y52" s="64" t="str">
        <f t="shared" si="6"/>
        <v>Not Cost-Effective</v>
      </c>
      <c r="Z52" s="76">
        <f t="shared" si="7"/>
        <v>0.23</v>
      </c>
      <c r="AA52" s="64" t="str">
        <f t="shared" si="13"/>
        <v>Not Cost-Effective</v>
      </c>
      <c r="AB52" s="76">
        <f t="shared" si="8"/>
        <v>0.49487542715488553</v>
      </c>
      <c r="AC52" s="64" t="str">
        <f t="shared" si="9"/>
        <v>Not Cost-Effective</v>
      </c>
      <c r="AD52" s="76">
        <f t="shared" si="10"/>
        <v>8.9154193773153201E-2</v>
      </c>
      <c r="AE52" s="64" t="str">
        <f t="shared" si="14"/>
        <v>Not Cost-Effective</v>
      </c>
      <c r="AF52" s="64" t="s">
        <v>210</v>
      </c>
      <c r="AG52" s="64" t="s">
        <v>174</v>
      </c>
      <c r="AH52" s="64" t="s">
        <v>721</v>
      </c>
    </row>
    <row r="53" spans="1:34" ht="12.75" customHeight="1">
      <c r="A53" s="40">
        <f t="shared" si="11"/>
        <v>16</v>
      </c>
      <c r="B53" s="40">
        <f t="shared" si="12"/>
        <v>1</v>
      </c>
      <c r="C53" s="51" t="str">
        <f t="shared" si="0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707</v>
      </c>
      <c r="I53" s="40" t="s">
        <v>186</v>
      </c>
      <c r="J53" s="40" t="s">
        <v>151</v>
      </c>
      <c r="K53" s="49" t="s">
        <v>744</v>
      </c>
      <c r="L53" s="40">
        <v>3</v>
      </c>
      <c r="M53" s="40" t="s">
        <v>148</v>
      </c>
      <c r="N53" s="30" t="s">
        <v>153</v>
      </c>
      <c r="O53" s="30" t="s">
        <v>699</v>
      </c>
      <c r="P53" s="40">
        <v>2014</v>
      </c>
      <c r="Q53" s="30" t="s">
        <v>745</v>
      </c>
      <c r="R53" s="35">
        <v>-27</v>
      </c>
      <c r="S53" s="43">
        <v>-27</v>
      </c>
      <c r="T53" s="32">
        <f t="shared" si="1"/>
        <v>4158.521471</v>
      </c>
      <c r="U53" s="30" t="str">
        <f t="shared" si="2"/>
        <v>Cost-Effective</v>
      </c>
      <c r="V53" s="30" t="str">
        <f t="shared" si="3"/>
        <v>Cost-Effective</v>
      </c>
      <c r="W53" s="41">
        <f t="shared" si="4"/>
        <v>-6.4926922196477943E-3</v>
      </c>
      <c r="X53" s="55">
        <f t="shared" si="5"/>
        <v>0.49</v>
      </c>
      <c r="Y53" s="30" t="str">
        <f t="shared" si="6"/>
        <v>Cost-Effective</v>
      </c>
      <c r="Z53" s="55">
        <f t="shared" si="7"/>
        <v>0.35</v>
      </c>
      <c r="AA53" s="30" t="str">
        <f t="shared" si="13"/>
        <v>Cost-Effective</v>
      </c>
      <c r="AB53" s="55">
        <f t="shared" si="8"/>
        <v>0.47754403164042214</v>
      </c>
      <c r="AC53" s="30" t="str">
        <f t="shared" si="9"/>
        <v>Cost-Effective</v>
      </c>
      <c r="AD53" s="55">
        <f t="shared" si="10"/>
        <v>0.12436758234088692</v>
      </c>
      <c r="AE53" s="30" t="str">
        <f t="shared" si="14"/>
        <v>Cost-Effective</v>
      </c>
      <c r="AF53" s="30" t="s">
        <v>210</v>
      </c>
      <c r="AG53" s="30" t="s">
        <v>239</v>
      </c>
      <c r="AH53" s="30" t="s">
        <v>746</v>
      </c>
    </row>
    <row r="54" spans="1:34" ht="12.75" customHeight="1">
      <c r="A54" s="40">
        <f t="shared" si="11"/>
        <v>16</v>
      </c>
      <c r="B54" s="40">
        <f t="shared" si="12"/>
        <v>2</v>
      </c>
      <c r="C54" s="51" t="str">
        <f t="shared" si="0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707</v>
      </c>
      <c r="I54" s="40" t="s">
        <v>186</v>
      </c>
      <c r="J54" s="40" t="s">
        <v>151</v>
      </c>
      <c r="K54" s="49" t="s">
        <v>744</v>
      </c>
      <c r="L54" s="40">
        <v>3</v>
      </c>
      <c r="M54" s="40" t="s">
        <v>148</v>
      </c>
      <c r="N54" s="30" t="s">
        <v>167</v>
      </c>
      <c r="O54" s="30" t="s">
        <v>699</v>
      </c>
      <c r="P54" s="40">
        <v>2014</v>
      </c>
      <c r="Q54" s="30" t="s">
        <v>747</v>
      </c>
      <c r="R54" s="35">
        <v>52</v>
      </c>
      <c r="S54" s="43">
        <v>52</v>
      </c>
      <c r="T54" s="32">
        <f t="shared" si="1"/>
        <v>4158.521471</v>
      </c>
      <c r="U54" s="30" t="str">
        <f t="shared" si="2"/>
        <v>Cost-Effective</v>
      </c>
      <c r="V54" s="30" t="str">
        <f t="shared" si="3"/>
        <v>Cost-Effective</v>
      </c>
      <c r="W54" s="41">
        <f t="shared" si="4"/>
        <v>1.2504444274877234E-2</v>
      </c>
      <c r="X54" s="55">
        <f t="shared" si="5"/>
        <v>0.49</v>
      </c>
      <c r="Y54" s="30" t="str">
        <f t="shared" si="6"/>
        <v>Cost-Effective</v>
      </c>
      <c r="Z54" s="55">
        <f t="shared" si="7"/>
        <v>0.35</v>
      </c>
      <c r="AA54" s="30" t="str">
        <f t="shared" si="13"/>
        <v>Cost-Effective</v>
      </c>
      <c r="AB54" s="55">
        <f t="shared" si="8"/>
        <v>0.47754403164042214</v>
      </c>
      <c r="AC54" s="30" t="str">
        <f t="shared" si="9"/>
        <v>Cost-Effective</v>
      </c>
      <c r="AD54" s="55">
        <f t="shared" si="10"/>
        <v>0.12436758234088692</v>
      </c>
      <c r="AE54" s="30" t="str">
        <f t="shared" si="14"/>
        <v>Cost-Effective</v>
      </c>
      <c r="AF54" s="30" t="s">
        <v>210</v>
      </c>
      <c r="AG54" s="30" t="s">
        <v>174</v>
      </c>
      <c r="AH54" s="30" t="s">
        <v>746</v>
      </c>
    </row>
    <row r="55" spans="1:34" ht="12.75" customHeight="1">
      <c r="A55" s="40">
        <f t="shared" si="11"/>
        <v>16</v>
      </c>
      <c r="B55" s="40">
        <f t="shared" si="12"/>
        <v>3</v>
      </c>
      <c r="C55" s="51" t="str">
        <f t="shared" si="0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707</v>
      </c>
      <c r="I55" s="40" t="s">
        <v>186</v>
      </c>
      <c r="J55" s="40" t="s">
        <v>151</v>
      </c>
      <c r="K55" s="49" t="s">
        <v>744</v>
      </c>
      <c r="L55" s="40">
        <v>3</v>
      </c>
      <c r="M55" s="40" t="s">
        <v>157</v>
      </c>
      <c r="N55" s="30" t="s">
        <v>153</v>
      </c>
      <c r="O55" s="30" t="s">
        <v>699</v>
      </c>
      <c r="P55" s="40">
        <v>2014</v>
      </c>
      <c r="Q55" s="30" t="s">
        <v>748</v>
      </c>
      <c r="R55" s="35">
        <v>19</v>
      </c>
      <c r="S55" s="43">
        <v>19</v>
      </c>
      <c r="T55" s="32">
        <f t="shared" si="1"/>
        <v>4158.521471</v>
      </c>
      <c r="U55" s="30" t="str">
        <f t="shared" si="2"/>
        <v>Cost-Effective</v>
      </c>
      <c r="V55" s="30" t="str">
        <f t="shared" si="3"/>
        <v>Cost-Effective</v>
      </c>
      <c r="W55" s="41">
        <f t="shared" si="4"/>
        <v>4.5689315619743733E-3</v>
      </c>
      <c r="X55" s="55">
        <f t="shared" si="5"/>
        <v>0.49</v>
      </c>
      <c r="Y55" s="30" t="str">
        <f t="shared" si="6"/>
        <v>Cost-Effective</v>
      </c>
      <c r="Z55" s="55">
        <f t="shared" si="7"/>
        <v>0.35</v>
      </c>
      <c r="AA55" s="30" t="str">
        <f t="shared" si="13"/>
        <v>Cost-Effective</v>
      </c>
      <c r="AB55" s="55">
        <f t="shared" si="8"/>
        <v>0.47754403164042214</v>
      </c>
      <c r="AC55" s="30" t="str">
        <f t="shared" si="9"/>
        <v>Cost-Effective</v>
      </c>
      <c r="AD55" s="55">
        <f t="shared" si="10"/>
        <v>0.12436758234088692</v>
      </c>
      <c r="AE55" s="30" t="str">
        <f t="shared" si="14"/>
        <v>Cost-Effective</v>
      </c>
      <c r="AF55" s="30" t="s">
        <v>210</v>
      </c>
      <c r="AG55" s="30" t="s">
        <v>174</v>
      </c>
      <c r="AH55" s="30" t="s">
        <v>746</v>
      </c>
    </row>
    <row r="56" spans="1:34" ht="12.75" customHeight="1">
      <c r="A56" s="40">
        <f t="shared" si="11"/>
        <v>16</v>
      </c>
      <c r="B56" s="40">
        <f t="shared" si="12"/>
        <v>4</v>
      </c>
      <c r="C56" s="51" t="str">
        <f t="shared" si="0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707</v>
      </c>
      <c r="I56" s="40" t="s">
        <v>186</v>
      </c>
      <c r="J56" s="40" t="s">
        <v>151</v>
      </c>
      <c r="K56" s="49" t="s">
        <v>744</v>
      </c>
      <c r="L56" s="40">
        <v>3</v>
      </c>
      <c r="M56" s="40" t="s">
        <v>157</v>
      </c>
      <c r="N56" s="30" t="s">
        <v>167</v>
      </c>
      <c r="O56" s="30" t="s">
        <v>699</v>
      </c>
      <c r="P56" s="40">
        <v>2014</v>
      </c>
      <c r="Q56" s="30" t="s">
        <v>749</v>
      </c>
      <c r="R56" s="35">
        <v>79</v>
      </c>
      <c r="S56" s="43">
        <v>79</v>
      </c>
      <c r="T56" s="32">
        <f t="shared" si="1"/>
        <v>4158.521471</v>
      </c>
      <c r="U56" s="30" t="str">
        <f t="shared" si="2"/>
        <v>Cost-Effective</v>
      </c>
      <c r="V56" s="30" t="str">
        <f t="shared" si="3"/>
        <v>Cost-Effective</v>
      </c>
      <c r="W56" s="41">
        <f t="shared" si="4"/>
        <v>1.8997136494525026E-2</v>
      </c>
      <c r="X56" s="55">
        <f t="shared" si="5"/>
        <v>0.49</v>
      </c>
      <c r="Y56" s="30" t="str">
        <f t="shared" si="6"/>
        <v>Cost-Effective</v>
      </c>
      <c r="Z56" s="55">
        <f t="shared" si="7"/>
        <v>0.35</v>
      </c>
      <c r="AA56" s="30" t="str">
        <f t="shared" si="13"/>
        <v>Cost-Effective</v>
      </c>
      <c r="AB56" s="55">
        <f t="shared" si="8"/>
        <v>0.47754403164042214</v>
      </c>
      <c r="AC56" s="30" t="str">
        <f t="shared" si="9"/>
        <v>Cost-Effective</v>
      </c>
      <c r="AD56" s="55">
        <f t="shared" si="10"/>
        <v>0.12436758234088692</v>
      </c>
      <c r="AE56" s="30" t="str">
        <f t="shared" si="14"/>
        <v>Cost-Effective</v>
      </c>
      <c r="AF56" s="30" t="s">
        <v>210</v>
      </c>
      <c r="AG56" s="30" t="s">
        <v>174</v>
      </c>
      <c r="AH56" s="30" t="s">
        <v>746</v>
      </c>
    </row>
    <row r="57" spans="1:34" ht="12.75" customHeight="1">
      <c r="A57" s="40">
        <f t="shared" si="11"/>
        <v>17</v>
      </c>
      <c r="B57" s="40">
        <f t="shared" si="12"/>
        <v>1</v>
      </c>
      <c r="C57" s="51" t="str">
        <f t="shared" si="0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705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699</v>
      </c>
      <c r="P57" s="40">
        <v>2017</v>
      </c>
      <c r="Q57" s="30" t="s">
        <v>750</v>
      </c>
      <c r="R57" s="35">
        <v>36</v>
      </c>
      <c r="S57" s="43">
        <v>36</v>
      </c>
      <c r="T57" s="32">
        <f t="shared" si="1"/>
        <v>3286.5967439999999</v>
      </c>
      <c r="U57" s="30" t="str">
        <f t="shared" si="2"/>
        <v>Cost-Effective</v>
      </c>
      <c r="V57" s="30" t="str">
        <f t="shared" si="3"/>
        <v>Cost-Effective</v>
      </c>
      <c r="W57" s="41">
        <f t="shared" si="4"/>
        <v>1.0953579889507735E-2</v>
      </c>
      <c r="X57" s="55">
        <f t="shared" si="5"/>
        <v>0</v>
      </c>
      <c r="Y57" s="30" t="str">
        <f t="shared" si="6"/>
        <v>No Threshold</v>
      </c>
      <c r="Z57" s="55">
        <f t="shared" si="7"/>
        <v>0</v>
      </c>
      <c r="AA57" s="30" t="str">
        <f t="shared" si="13"/>
        <v>No Threshold</v>
      </c>
      <c r="AB57" s="55">
        <f t="shared" si="8"/>
        <v>0.50875051837814589</v>
      </c>
      <c r="AC57" s="30" t="str">
        <f t="shared" si="9"/>
        <v>Cost-Effective</v>
      </c>
      <c r="AD57" s="55">
        <f t="shared" si="10"/>
        <v>0.10797805119790538</v>
      </c>
      <c r="AE57" s="30" t="str">
        <f t="shared" si="14"/>
        <v>Cost-Effective</v>
      </c>
      <c r="AF57" s="30" t="s">
        <v>210</v>
      </c>
      <c r="AG57" s="30" t="s">
        <v>174</v>
      </c>
    </row>
    <row r="58" spans="1:34" ht="12.75" customHeight="1">
      <c r="A58" s="40">
        <f t="shared" si="11"/>
        <v>17</v>
      </c>
      <c r="B58" s="40">
        <f t="shared" si="12"/>
        <v>2</v>
      </c>
      <c r="C58" s="51" t="str">
        <f t="shared" si="0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707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699</v>
      </c>
      <c r="P58" s="40">
        <v>2017</v>
      </c>
      <c r="Q58" s="30" t="s">
        <v>751</v>
      </c>
      <c r="R58" s="35">
        <v>40</v>
      </c>
      <c r="S58" s="43">
        <v>40</v>
      </c>
      <c r="T58" s="32">
        <f t="shared" si="1"/>
        <v>3286.5967439999999</v>
      </c>
      <c r="U58" s="30" t="str">
        <f t="shared" si="2"/>
        <v>Cost-Effective</v>
      </c>
      <c r="V58" s="30" t="str">
        <f t="shared" si="3"/>
        <v>Cost-Effective</v>
      </c>
      <c r="W58" s="41">
        <f t="shared" si="4"/>
        <v>1.2170644321675261E-2</v>
      </c>
      <c r="X58" s="55">
        <f t="shared" si="5"/>
        <v>0</v>
      </c>
      <c r="Y58" s="30" t="str">
        <f t="shared" si="6"/>
        <v>No Threshold</v>
      </c>
      <c r="Z58" s="55">
        <f t="shared" si="7"/>
        <v>0</v>
      </c>
      <c r="AA58" s="30" t="str">
        <f t="shared" si="13"/>
        <v>No Threshold</v>
      </c>
      <c r="AB58" s="55">
        <f t="shared" si="8"/>
        <v>0.50875051837814589</v>
      </c>
      <c r="AC58" s="30" t="str">
        <f t="shared" si="9"/>
        <v>Cost-Effective</v>
      </c>
      <c r="AD58" s="55">
        <f t="shared" si="10"/>
        <v>0.10797805119790538</v>
      </c>
      <c r="AE58" s="30" t="str">
        <f t="shared" si="14"/>
        <v>Cost-Effective</v>
      </c>
      <c r="AF58" s="30" t="s">
        <v>210</v>
      </c>
      <c r="AG58" s="30" t="s">
        <v>174</v>
      </c>
    </row>
    <row r="59" spans="1:34" ht="12.75" customHeight="1">
      <c r="A59" s="40">
        <f t="shared" si="11"/>
        <v>17</v>
      </c>
      <c r="B59" s="40">
        <f t="shared" si="12"/>
        <v>3</v>
      </c>
      <c r="C59" s="51" t="str">
        <f t="shared" si="0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729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699</v>
      </c>
      <c r="P59" s="40">
        <v>2017</v>
      </c>
      <c r="Q59" s="30" t="s">
        <v>752</v>
      </c>
      <c r="R59" s="35">
        <v>92</v>
      </c>
      <c r="S59" s="43">
        <v>92</v>
      </c>
      <c r="T59" s="32">
        <f t="shared" si="1"/>
        <v>3286.5967439999999</v>
      </c>
      <c r="U59" s="30" t="str">
        <f t="shared" si="2"/>
        <v>Cost-Effective</v>
      </c>
      <c r="V59" s="30" t="str">
        <f t="shared" si="3"/>
        <v>Cost-Effective</v>
      </c>
      <c r="W59" s="41">
        <f t="shared" si="4"/>
        <v>2.7992481939853101E-2</v>
      </c>
      <c r="X59" s="55">
        <f t="shared" si="5"/>
        <v>0</v>
      </c>
      <c r="Y59" s="30" t="str">
        <f t="shared" si="6"/>
        <v>No Threshold</v>
      </c>
      <c r="Z59" s="55">
        <f t="shared" si="7"/>
        <v>0</v>
      </c>
      <c r="AA59" s="30" t="str">
        <f t="shared" si="13"/>
        <v>No Threshold</v>
      </c>
      <c r="AB59" s="55">
        <f t="shared" si="8"/>
        <v>0.50875051837814589</v>
      </c>
      <c r="AC59" s="30" t="str">
        <f t="shared" si="9"/>
        <v>Cost-Effective</v>
      </c>
      <c r="AD59" s="55">
        <f t="shared" si="10"/>
        <v>0.10797805119790538</v>
      </c>
      <c r="AE59" s="30" t="str">
        <f t="shared" si="14"/>
        <v>Cost-Effective</v>
      </c>
      <c r="AF59" s="30" t="s">
        <v>210</v>
      </c>
      <c r="AG59" s="30" t="s">
        <v>174</v>
      </c>
    </row>
    <row r="60" spans="1:34" ht="12.75" customHeight="1">
      <c r="A60" s="40">
        <f t="shared" si="11"/>
        <v>18</v>
      </c>
      <c r="B60" s="40">
        <f t="shared" si="12"/>
        <v>1</v>
      </c>
      <c r="C60" s="51" t="str">
        <f t="shared" si="0"/>
        <v>1801</v>
      </c>
      <c r="D60" s="30" t="s">
        <v>66</v>
      </c>
      <c r="E60" s="33">
        <v>2008</v>
      </c>
      <c r="F60" s="30" t="s">
        <v>329</v>
      </c>
      <c r="G60" s="30" t="s">
        <v>330</v>
      </c>
      <c r="H60" s="44" t="s">
        <v>753</v>
      </c>
      <c r="I60" s="40" t="s">
        <v>150</v>
      </c>
      <c r="J60" s="40" t="s">
        <v>151</v>
      </c>
      <c r="K60" s="49" t="s">
        <v>331</v>
      </c>
      <c r="L60" s="40">
        <v>3</v>
      </c>
      <c r="M60" s="40" t="s">
        <v>157</v>
      </c>
      <c r="N60" s="30" t="s">
        <v>153</v>
      </c>
      <c r="O60" s="30" t="s">
        <v>699</v>
      </c>
      <c r="P60" s="40">
        <v>2004</v>
      </c>
      <c r="Q60" s="30" t="s">
        <v>754</v>
      </c>
      <c r="R60" s="35">
        <v>664</v>
      </c>
      <c r="S60" s="43">
        <v>664</v>
      </c>
      <c r="T60" s="32">
        <f t="shared" si="1"/>
        <v>3637.3138899999999</v>
      </c>
      <c r="U60" s="30" t="str">
        <f t="shared" si="2"/>
        <v>Cost-Effective</v>
      </c>
      <c r="V60" s="30" t="str">
        <f t="shared" si="3"/>
        <v>Cost-Effective</v>
      </c>
      <c r="W60" s="41">
        <f t="shared" si="4"/>
        <v>0.1825522954797833</v>
      </c>
      <c r="X60" s="55">
        <f t="shared" si="5"/>
        <v>1.0900000000000001</v>
      </c>
      <c r="Y60" s="30" t="str">
        <f t="shared" si="6"/>
        <v>Cost-Effective</v>
      </c>
      <c r="Z60" s="55">
        <f t="shared" si="7"/>
        <v>0.71</v>
      </c>
      <c r="AA60" s="30" t="str">
        <f t="shared" si="13"/>
        <v>Cost-Effective</v>
      </c>
      <c r="AB60" s="55">
        <f t="shared" si="8"/>
        <v>0.61331405073457201</v>
      </c>
      <c r="AC60" s="30" t="str">
        <f t="shared" si="9"/>
        <v>Cost-Effective</v>
      </c>
      <c r="AD60" s="55">
        <f t="shared" si="10"/>
        <v>0.19454672897770822</v>
      </c>
      <c r="AE60" s="30" t="str">
        <f t="shared" si="14"/>
        <v>Cost-Effective</v>
      </c>
      <c r="AF60" s="30" t="s">
        <v>173</v>
      </c>
      <c r="AG60" s="30" t="s">
        <v>174</v>
      </c>
    </row>
    <row r="61" spans="1:34" ht="12.75" customHeight="1">
      <c r="A61" s="40">
        <f t="shared" si="11"/>
        <v>18</v>
      </c>
      <c r="B61" s="40">
        <f t="shared" si="12"/>
        <v>2</v>
      </c>
      <c r="C61" s="51" t="str">
        <f t="shared" si="0"/>
        <v>1802</v>
      </c>
      <c r="D61" s="30" t="s">
        <v>66</v>
      </c>
      <c r="E61" s="33">
        <v>2008</v>
      </c>
      <c r="F61" s="30" t="s">
        <v>329</v>
      </c>
      <c r="G61" s="30" t="s">
        <v>334</v>
      </c>
      <c r="H61" s="44" t="s">
        <v>755</v>
      </c>
      <c r="I61" s="40" t="s">
        <v>150</v>
      </c>
      <c r="J61" s="40" t="s">
        <v>151</v>
      </c>
      <c r="K61" s="49" t="s">
        <v>331</v>
      </c>
      <c r="L61" s="40">
        <v>3</v>
      </c>
      <c r="M61" s="40" t="s">
        <v>157</v>
      </c>
      <c r="N61" s="30" t="s">
        <v>153</v>
      </c>
      <c r="O61" s="30" t="s">
        <v>699</v>
      </c>
      <c r="P61" s="40">
        <v>2004</v>
      </c>
      <c r="Q61" s="30" t="s">
        <v>756</v>
      </c>
      <c r="R61" s="35">
        <v>1546</v>
      </c>
      <c r="S61" s="43">
        <v>1546</v>
      </c>
      <c r="T61" s="32">
        <f t="shared" si="1"/>
        <v>4120.5442050000001</v>
      </c>
      <c r="U61" s="30" t="str">
        <f t="shared" si="2"/>
        <v>Cost-Effective</v>
      </c>
      <c r="V61" s="30" t="str">
        <f t="shared" si="3"/>
        <v>Cost-Effective</v>
      </c>
      <c r="W61" s="41">
        <f t="shared" si="4"/>
        <v>0.37519315971032036</v>
      </c>
      <c r="X61" s="55">
        <f t="shared" si="5"/>
        <v>0</v>
      </c>
      <c r="Y61" s="30" t="str">
        <f t="shared" si="6"/>
        <v>No Threshold</v>
      </c>
      <c r="Z61" s="55">
        <f t="shared" si="7"/>
        <v>0</v>
      </c>
      <c r="AA61" s="30" t="str">
        <f t="shared" si="13"/>
        <v>No Threshold</v>
      </c>
      <c r="AB61" s="55">
        <f t="shared" si="8"/>
        <v>0.59780757492583769</v>
      </c>
      <c r="AC61" s="30" t="str">
        <f t="shared" si="9"/>
        <v>Cost-Effective</v>
      </c>
      <c r="AD61" s="55">
        <f t="shared" si="10"/>
        <v>0.26794410670766822</v>
      </c>
      <c r="AE61" s="30" t="str">
        <f t="shared" si="14"/>
        <v>Not Cost-Effective</v>
      </c>
      <c r="AF61" s="30" t="s">
        <v>173</v>
      </c>
      <c r="AG61" s="30" t="s">
        <v>174</v>
      </c>
    </row>
    <row r="62" spans="1:34" ht="12.75" customHeight="1">
      <c r="A62" s="40">
        <f t="shared" si="11"/>
        <v>19</v>
      </c>
      <c r="B62" s="40">
        <f t="shared" si="12"/>
        <v>1</v>
      </c>
      <c r="C62" s="51" t="str">
        <f t="shared" si="0"/>
        <v>1901</v>
      </c>
      <c r="D62" s="30" t="s">
        <v>336</v>
      </c>
      <c r="E62" s="33">
        <v>2009</v>
      </c>
      <c r="F62" s="30" t="s">
        <v>337</v>
      </c>
      <c r="G62" s="30" t="s">
        <v>330</v>
      </c>
      <c r="H62" s="44" t="s">
        <v>757</v>
      </c>
      <c r="I62" s="40" t="s">
        <v>150</v>
      </c>
      <c r="J62" s="40" t="s">
        <v>151</v>
      </c>
      <c r="K62" s="49" t="s">
        <v>331</v>
      </c>
      <c r="L62" s="40">
        <v>3</v>
      </c>
      <c r="M62" s="40" t="s">
        <v>157</v>
      </c>
      <c r="N62" s="30" t="s">
        <v>167</v>
      </c>
      <c r="O62" s="30" t="s">
        <v>758</v>
      </c>
      <c r="P62" s="40">
        <v>2006</v>
      </c>
      <c r="Q62" s="30" t="s">
        <v>339</v>
      </c>
      <c r="R62" s="35">
        <v>4516</v>
      </c>
      <c r="S62" s="43">
        <f>R62/xRates!$L$28</f>
        <v>2076.010039871403</v>
      </c>
      <c r="T62" s="32">
        <f t="shared" si="1"/>
        <v>5886.3915219999999</v>
      </c>
      <c r="U62" s="30" t="str">
        <f t="shared" si="2"/>
        <v>Cost-Effective</v>
      </c>
      <c r="V62" s="30" t="str">
        <f t="shared" si="3"/>
        <v>Cost-Effective</v>
      </c>
      <c r="W62" s="41">
        <f t="shared" si="4"/>
        <v>0.35267957153588109</v>
      </c>
      <c r="X62" s="55">
        <f t="shared" si="5"/>
        <v>1.0900000000000001</v>
      </c>
      <c r="Y62" s="30" t="str">
        <f t="shared" si="6"/>
        <v>Cost-Effective</v>
      </c>
      <c r="Z62" s="55">
        <f t="shared" si="7"/>
        <v>0.71</v>
      </c>
      <c r="AA62" s="30" t="str">
        <f t="shared" si="13"/>
        <v>Cost-Effective</v>
      </c>
      <c r="AB62" s="55">
        <f t="shared" si="8"/>
        <v>0.61331405073457201</v>
      </c>
      <c r="AC62" s="30" t="str">
        <f t="shared" si="9"/>
        <v>Cost-Effective</v>
      </c>
      <c r="AD62" s="55">
        <f t="shared" si="10"/>
        <v>0.19454672897770822</v>
      </c>
      <c r="AE62" s="30" t="str">
        <f t="shared" si="14"/>
        <v>Not Cost-Effective</v>
      </c>
      <c r="AF62" s="30" t="s">
        <v>210</v>
      </c>
      <c r="AG62" s="30" t="s">
        <v>174</v>
      </c>
    </row>
    <row r="63" spans="1:34" ht="12.75" customHeight="1">
      <c r="A63" s="40">
        <f t="shared" si="11"/>
        <v>19</v>
      </c>
      <c r="B63" s="40">
        <f t="shared" si="12"/>
        <v>2</v>
      </c>
      <c r="C63" s="51" t="str">
        <f t="shared" si="0"/>
        <v>1902</v>
      </c>
      <c r="D63" s="30" t="s">
        <v>336</v>
      </c>
      <c r="E63" s="33">
        <v>2009</v>
      </c>
      <c r="F63" s="30" t="s">
        <v>337</v>
      </c>
      <c r="G63" s="30" t="s">
        <v>330</v>
      </c>
      <c r="H63" s="44" t="s">
        <v>757</v>
      </c>
      <c r="I63" s="40" t="s">
        <v>150</v>
      </c>
      <c r="J63" s="40" t="s">
        <v>151</v>
      </c>
      <c r="K63" s="49" t="s">
        <v>331</v>
      </c>
      <c r="L63" s="40">
        <v>3</v>
      </c>
      <c r="M63" s="40" t="s">
        <v>157</v>
      </c>
      <c r="N63" s="30" t="s">
        <v>153</v>
      </c>
      <c r="O63" s="30" t="s">
        <v>758</v>
      </c>
      <c r="P63" s="40">
        <v>2006</v>
      </c>
      <c r="Q63" s="30" t="s">
        <v>340</v>
      </c>
      <c r="R63" s="35">
        <v>3946</v>
      </c>
      <c r="S63" s="43">
        <f>R63/xRates!$L$28</f>
        <v>1813.9804289930373</v>
      </c>
      <c r="T63" s="32">
        <f t="shared" si="1"/>
        <v>5886.3915219999999</v>
      </c>
      <c r="U63" s="30" t="str">
        <f t="shared" si="2"/>
        <v>Cost-Effective</v>
      </c>
      <c r="V63" s="30" t="str">
        <f t="shared" si="3"/>
        <v>Cost-Effective</v>
      </c>
      <c r="W63" s="41">
        <f t="shared" si="4"/>
        <v>0.30816509948640097</v>
      </c>
      <c r="X63" s="55">
        <f t="shared" si="5"/>
        <v>1.0900000000000001</v>
      </c>
      <c r="Y63" s="30" t="str">
        <f t="shared" si="6"/>
        <v>Cost-Effective</v>
      </c>
      <c r="Z63" s="55">
        <f t="shared" si="7"/>
        <v>0.71</v>
      </c>
      <c r="AA63" s="30" t="str">
        <f t="shared" si="13"/>
        <v>Cost-Effective</v>
      </c>
      <c r="AB63" s="55">
        <f t="shared" si="8"/>
        <v>0.61331405073457201</v>
      </c>
      <c r="AC63" s="30" t="str">
        <f t="shared" si="9"/>
        <v>Cost-Effective</v>
      </c>
      <c r="AD63" s="55">
        <f t="shared" si="10"/>
        <v>0.19454672897770822</v>
      </c>
      <c r="AE63" s="30" t="str">
        <f t="shared" si="14"/>
        <v>Not Cost-Effective</v>
      </c>
      <c r="AF63" s="30" t="s">
        <v>210</v>
      </c>
      <c r="AG63" s="30" t="s">
        <v>174</v>
      </c>
    </row>
    <row r="64" spans="1:34" ht="12.75" customHeight="1">
      <c r="A64" s="40">
        <f t="shared" si="11"/>
        <v>19</v>
      </c>
      <c r="B64" s="40">
        <f t="shared" si="12"/>
        <v>3</v>
      </c>
      <c r="C64" s="51" t="str">
        <f t="shared" si="0"/>
        <v>1903</v>
      </c>
      <c r="D64" s="30" t="s">
        <v>336</v>
      </c>
      <c r="E64" s="33">
        <v>2009</v>
      </c>
      <c r="F64" s="30" t="s">
        <v>337</v>
      </c>
      <c r="G64" s="30" t="s">
        <v>330</v>
      </c>
      <c r="H64" s="44" t="s">
        <v>757</v>
      </c>
      <c r="I64" s="40" t="s">
        <v>150</v>
      </c>
      <c r="J64" s="40" t="s">
        <v>151</v>
      </c>
      <c r="K64" s="49" t="s">
        <v>331</v>
      </c>
      <c r="L64" s="40">
        <v>3</v>
      </c>
      <c r="M64" s="40" t="s">
        <v>148</v>
      </c>
      <c r="N64" s="30" t="s">
        <v>153</v>
      </c>
      <c r="O64" s="30" t="s">
        <v>758</v>
      </c>
      <c r="P64" s="40">
        <v>2006</v>
      </c>
      <c r="Q64" s="30" t="s">
        <v>341</v>
      </c>
      <c r="R64" s="35">
        <v>1302</v>
      </c>
      <c r="S64" s="43">
        <f>R64/xRates!$L$28</f>
        <v>598.53079537479334</v>
      </c>
      <c r="T64" s="32">
        <f t="shared" si="1"/>
        <v>5886.3915219999999</v>
      </c>
      <c r="U64" s="30" t="str">
        <f t="shared" si="2"/>
        <v>Cost-Effective</v>
      </c>
      <c r="V64" s="30" t="str">
        <f t="shared" si="3"/>
        <v>Cost-Effective</v>
      </c>
      <c r="W64" s="41">
        <f t="shared" si="4"/>
        <v>0.10168042562881249</v>
      </c>
      <c r="X64" s="55">
        <f t="shared" si="5"/>
        <v>1.0900000000000001</v>
      </c>
      <c r="Y64" s="30" t="str">
        <f t="shared" si="6"/>
        <v>Cost-Effective</v>
      </c>
      <c r="Z64" s="55">
        <f t="shared" si="7"/>
        <v>0.71</v>
      </c>
      <c r="AA64" s="30" t="str">
        <f t="shared" si="13"/>
        <v>Cost-Effective</v>
      </c>
      <c r="AB64" s="55">
        <f t="shared" si="8"/>
        <v>0.61331405073457201</v>
      </c>
      <c r="AC64" s="30" t="str">
        <f t="shared" si="9"/>
        <v>Cost-Effective</v>
      </c>
      <c r="AD64" s="55">
        <f t="shared" si="10"/>
        <v>0.19454672897770822</v>
      </c>
      <c r="AE64" s="30" t="str">
        <f t="shared" si="14"/>
        <v>Cost-Effective</v>
      </c>
      <c r="AF64" s="30" t="s">
        <v>210</v>
      </c>
      <c r="AG64" s="30" t="s">
        <v>174</v>
      </c>
    </row>
    <row r="65" spans="1:34" ht="12.75" customHeight="1">
      <c r="A65" s="40">
        <f t="shared" si="11"/>
        <v>19</v>
      </c>
      <c r="B65" s="40">
        <f t="shared" si="12"/>
        <v>4</v>
      </c>
      <c r="C65" s="51" t="str">
        <f t="shared" si="0"/>
        <v>1904</v>
      </c>
      <c r="D65" s="30" t="s">
        <v>336</v>
      </c>
      <c r="E65" s="33">
        <v>2009</v>
      </c>
      <c r="F65" s="30" t="s">
        <v>337</v>
      </c>
      <c r="G65" s="30" t="s">
        <v>330</v>
      </c>
      <c r="H65" s="44" t="s">
        <v>757</v>
      </c>
      <c r="I65" s="40" t="s">
        <v>150</v>
      </c>
      <c r="J65" s="40" t="s">
        <v>151</v>
      </c>
      <c r="K65" s="49" t="s">
        <v>331</v>
      </c>
      <c r="L65" s="40">
        <v>3</v>
      </c>
      <c r="M65" s="40" t="s">
        <v>148</v>
      </c>
      <c r="N65" s="30" t="s">
        <v>759</v>
      </c>
      <c r="O65" s="30" t="s">
        <v>758</v>
      </c>
      <c r="P65" s="40">
        <v>2006</v>
      </c>
      <c r="Q65" s="30" t="s">
        <v>342</v>
      </c>
      <c r="R65" s="35">
        <v>1490</v>
      </c>
      <c r="S65" s="43">
        <f>R65/xRates!$L$28</f>
        <v>684.95459685748244</v>
      </c>
      <c r="T65" s="32">
        <f t="shared" si="1"/>
        <v>5886.3915219999999</v>
      </c>
      <c r="U65" s="30" t="str">
        <f t="shared" si="2"/>
        <v>Cost-Effective</v>
      </c>
      <c r="V65" s="30" t="str">
        <f t="shared" si="3"/>
        <v>Cost-Effective</v>
      </c>
      <c r="W65" s="41">
        <f t="shared" si="4"/>
        <v>0.11636239184864103</v>
      </c>
      <c r="X65" s="55">
        <f t="shared" si="5"/>
        <v>1.0900000000000001</v>
      </c>
      <c r="Y65" s="30" t="str">
        <f t="shared" si="6"/>
        <v>Cost-Effective</v>
      </c>
      <c r="Z65" s="55">
        <f t="shared" si="7"/>
        <v>0.71</v>
      </c>
      <c r="AA65" s="30" t="str">
        <f t="shared" si="13"/>
        <v>Cost-Effective</v>
      </c>
      <c r="AB65" s="55">
        <f t="shared" si="8"/>
        <v>0.61331405073457201</v>
      </c>
      <c r="AC65" s="30" t="str">
        <f t="shared" si="9"/>
        <v>Cost-Effective</v>
      </c>
      <c r="AD65" s="55">
        <f t="shared" si="10"/>
        <v>0.19454672897770822</v>
      </c>
      <c r="AE65" s="30" t="str">
        <f t="shared" si="14"/>
        <v>Cost-Effective</v>
      </c>
      <c r="AF65" s="30" t="s">
        <v>210</v>
      </c>
      <c r="AG65" s="30" t="s">
        <v>174</v>
      </c>
    </row>
    <row r="66" spans="1:34" ht="12.75" customHeight="1">
      <c r="A66" s="40">
        <f t="shared" si="11"/>
        <v>19</v>
      </c>
      <c r="B66" s="40">
        <f t="shared" si="12"/>
        <v>5</v>
      </c>
      <c r="C66" s="51" t="str">
        <f t="shared" ref="C66:C119" si="15">_xlfn.CONCAT(TEXT(A66,"00"),TEXT(B66,"00"))</f>
        <v>1905</v>
      </c>
      <c r="D66" s="30" t="s">
        <v>336</v>
      </c>
      <c r="E66" s="33">
        <v>2009</v>
      </c>
      <c r="F66" s="30" t="s">
        <v>337</v>
      </c>
      <c r="G66" s="30" t="s">
        <v>330</v>
      </c>
      <c r="H66" s="44" t="s">
        <v>757</v>
      </c>
      <c r="I66" s="40" t="s">
        <v>150</v>
      </c>
      <c r="J66" s="40" t="s">
        <v>151</v>
      </c>
      <c r="K66" s="49" t="s">
        <v>166</v>
      </c>
      <c r="L66" s="40">
        <v>4</v>
      </c>
      <c r="M66" s="40" t="s">
        <v>157</v>
      </c>
      <c r="N66" s="30" t="s">
        <v>759</v>
      </c>
      <c r="O66" s="30" t="s">
        <v>758</v>
      </c>
      <c r="P66" s="40">
        <v>2006</v>
      </c>
      <c r="Q66" s="30" t="s">
        <v>343</v>
      </c>
      <c r="R66" s="35">
        <v>5973</v>
      </c>
      <c r="S66" s="43">
        <f>R66/xRates!$L$28</f>
        <v>2745.7945013622434</v>
      </c>
      <c r="T66" s="32">
        <f t="shared" ref="T66:T127" si="16">VLOOKUP(G66,gdppc,P66-1958,FALSE)</f>
        <v>5886.3915219999999</v>
      </c>
      <c r="U66" s="30" t="str">
        <f t="shared" ref="U66:U127" si="17">IF(S66&lt;T66,"Cost-Effective","Not Cost-Effective")</f>
        <v>Cost-Effective</v>
      </c>
      <c r="V66" s="30" t="str">
        <f t="shared" ref="V66:V127" si="18">IF(S66&lt;T66*3,"Cost-Effective","Not Cost-Effective")</f>
        <v>Cost-Effective</v>
      </c>
      <c r="W66" s="41">
        <f t="shared" ref="W66:W127" si="19">S66/T66</f>
        <v>0.46646480973955229</v>
      </c>
      <c r="X66" s="55">
        <f t="shared" ref="X66:X127" si="20">IFERROR(VLOOKUP(G66,ochalek,11,FALSE),0)</f>
        <v>1.0900000000000001</v>
      </c>
      <c r="Y66" s="30" t="str">
        <f t="shared" ref="Y66:Y127" si="21">IF( W66&lt;X66, "Cost-Effective", IF( W66-X66=W66, "No Threshold", "Not Cost-Effective"))</f>
        <v>Cost-Effective</v>
      </c>
      <c r="Z66" s="55">
        <f t="shared" ref="Z66:Z127" si="22">IFERROR(VLOOKUP(G66,ochalek,10,FALSE),0)</f>
        <v>0.71</v>
      </c>
      <c r="AA66" s="30" t="str">
        <f t="shared" si="13"/>
        <v>Cost-Effective</v>
      </c>
      <c r="AB66" s="55">
        <f t="shared" ref="AB66:AB127" si="23">IFERROR(VLOOKUP(G66,woods,6,FALSE),0)</f>
        <v>0.61331405073457201</v>
      </c>
      <c r="AC66" s="30" t="str">
        <f t="shared" ref="AC66:AC127" si="24">IF( W66&lt;AB66, "Cost-Effective", IF( W66-AB66=W66, "No Threshold", "Not Cost-Effective"))</f>
        <v>Cost-Effective</v>
      </c>
      <c r="AD66" s="55">
        <f t="shared" ref="AD66:AD127" si="25">IFERROR(VLOOKUP(G66,woods,5,FALSE),0)</f>
        <v>0.19454672897770822</v>
      </c>
      <c r="AE66" s="30" t="str">
        <f t="shared" si="14"/>
        <v>Not Cost-Effective</v>
      </c>
      <c r="AF66" s="30" t="s">
        <v>210</v>
      </c>
      <c r="AG66" s="30" t="s">
        <v>174</v>
      </c>
    </row>
    <row r="67" spans="1:34" ht="12.75" customHeight="1">
      <c r="A67" s="40">
        <f t="shared" ref="A67:A119" si="26">IF(F67=F66,A66,A66+1)</f>
        <v>19</v>
      </c>
      <c r="B67" s="40">
        <f t="shared" ref="B67:B119" si="27">IF(F67=F66,B66+1,1)</f>
        <v>6</v>
      </c>
      <c r="C67" s="51" t="str">
        <f t="shared" si="15"/>
        <v>1906</v>
      </c>
      <c r="D67" s="30" t="s">
        <v>336</v>
      </c>
      <c r="E67" s="33">
        <v>2009</v>
      </c>
      <c r="F67" s="30" t="s">
        <v>337</v>
      </c>
      <c r="G67" s="30" t="s">
        <v>330</v>
      </c>
      <c r="H67" s="44" t="s">
        <v>757</v>
      </c>
      <c r="I67" s="40" t="s">
        <v>150</v>
      </c>
      <c r="J67" s="40" t="s">
        <v>151</v>
      </c>
      <c r="K67" s="49" t="s">
        <v>166</v>
      </c>
      <c r="L67" s="40">
        <v>4</v>
      </c>
      <c r="M67" s="40" t="s">
        <v>157</v>
      </c>
      <c r="N67" s="30" t="s">
        <v>153</v>
      </c>
      <c r="O67" s="30" t="s">
        <v>758</v>
      </c>
      <c r="P67" s="40">
        <v>2006</v>
      </c>
      <c r="Q67" s="30" t="s">
        <v>344</v>
      </c>
      <c r="R67" s="35">
        <v>5403</v>
      </c>
      <c r="S67" s="43">
        <f>R67/xRates!$L$28</f>
        <v>2483.7648904838775</v>
      </c>
      <c r="T67" s="32">
        <f t="shared" si="16"/>
        <v>5886.3915219999999</v>
      </c>
      <c r="U67" s="30" t="str">
        <f t="shared" si="17"/>
        <v>Cost-Effective</v>
      </c>
      <c r="V67" s="30" t="str">
        <f t="shared" si="18"/>
        <v>Cost-Effective</v>
      </c>
      <c r="W67" s="41">
        <f t="shared" si="19"/>
        <v>0.42195033769007212</v>
      </c>
      <c r="X67" s="55">
        <f t="shared" si="20"/>
        <v>1.0900000000000001</v>
      </c>
      <c r="Y67" s="30" t="str">
        <f t="shared" si="21"/>
        <v>Cost-Effective</v>
      </c>
      <c r="Z67" s="55">
        <f t="shared" si="22"/>
        <v>0.71</v>
      </c>
      <c r="AA67" s="30" t="str">
        <f t="shared" ref="AA67:AA128" si="28">IF( W67&lt;Z67, "Cost-Effective", IF( W67-Z67=W67, "No Threshold", "Not Cost-Effective"))</f>
        <v>Cost-Effective</v>
      </c>
      <c r="AB67" s="55">
        <f t="shared" si="23"/>
        <v>0.61331405073457201</v>
      </c>
      <c r="AC67" s="30" t="str">
        <f t="shared" si="24"/>
        <v>Cost-Effective</v>
      </c>
      <c r="AD67" s="55">
        <f t="shared" si="25"/>
        <v>0.19454672897770822</v>
      </c>
      <c r="AE67" s="30" t="str">
        <f t="shared" ref="AE67:AE128" si="29">IF( W67&lt;AD67, "Cost-Effective", IF( W67-AD67=W67, "No Threshold", "Not Cost-Effective"))</f>
        <v>Not Cost-Effective</v>
      </c>
      <c r="AF67" s="30" t="s">
        <v>210</v>
      </c>
      <c r="AG67" s="30" t="s">
        <v>174</v>
      </c>
    </row>
    <row r="68" spans="1:34" ht="12.75" customHeight="1">
      <c r="A68" s="40">
        <f t="shared" si="26"/>
        <v>20</v>
      </c>
      <c r="B68" s="40">
        <f t="shared" si="27"/>
        <v>1</v>
      </c>
      <c r="C68" s="51" t="str">
        <f t="shared" si="15"/>
        <v>2001</v>
      </c>
      <c r="D68" s="30" t="s">
        <v>38</v>
      </c>
      <c r="E68" s="33">
        <v>2010</v>
      </c>
      <c r="F68" s="30" t="s">
        <v>345</v>
      </c>
      <c r="G68" s="30" t="s">
        <v>346</v>
      </c>
      <c r="H68" s="44" t="s">
        <v>760</v>
      </c>
      <c r="I68" s="40" t="s">
        <v>348</v>
      </c>
      <c r="J68" s="40" t="s">
        <v>151</v>
      </c>
      <c r="K68" s="49" t="s">
        <v>331</v>
      </c>
      <c r="L68" s="40">
        <v>3</v>
      </c>
      <c r="M68" s="40" t="s">
        <v>148</v>
      </c>
      <c r="N68" s="30" t="s">
        <v>153</v>
      </c>
      <c r="O68" s="30" t="s">
        <v>699</v>
      </c>
      <c r="P68" s="40">
        <v>2005</v>
      </c>
      <c r="Q68" s="30" t="s">
        <v>761</v>
      </c>
      <c r="R68" s="35">
        <v>670</v>
      </c>
      <c r="S68" s="43">
        <v>670</v>
      </c>
      <c r="T68" s="32">
        <f t="shared" si="16"/>
        <v>665.72021570000004</v>
      </c>
      <c r="U68" s="30" t="str">
        <f t="shared" si="17"/>
        <v>Not Cost-Effective</v>
      </c>
      <c r="V68" s="30" t="str">
        <f t="shared" si="18"/>
        <v>Cost-Effective</v>
      </c>
      <c r="W68" s="41">
        <f t="shared" si="19"/>
        <v>1.0064288032706048</v>
      </c>
      <c r="X68" s="55">
        <f t="shared" si="20"/>
        <v>0.69</v>
      </c>
      <c r="Y68" s="30" t="str">
        <f t="shared" si="21"/>
        <v>Not Cost-Effective</v>
      </c>
      <c r="Z68" s="55">
        <f t="shared" si="22"/>
        <v>0.52</v>
      </c>
      <c r="AA68" s="30" t="str">
        <f t="shared" si="28"/>
        <v>Not Cost-Effective</v>
      </c>
      <c r="AB68" s="55">
        <f t="shared" si="23"/>
        <v>0.35973480239731703</v>
      </c>
      <c r="AC68" s="30" t="str">
        <f t="shared" si="24"/>
        <v>Not Cost-Effective</v>
      </c>
      <c r="AD68" s="55">
        <f t="shared" si="25"/>
        <v>1.7130228685586526E-2</v>
      </c>
      <c r="AE68" s="30" t="str">
        <f t="shared" si="29"/>
        <v>Not Cost-Effective</v>
      </c>
      <c r="AF68" s="30" t="s">
        <v>173</v>
      </c>
      <c r="AG68" s="30" t="s">
        <v>174</v>
      </c>
    </row>
    <row r="69" spans="1:34" ht="12.75" customHeight="1">
      <c r="A69" s="40">
        <f t="shared" si="26"/>
        <v>20</v>
      </c>
      <c r="B69" s="40">
        <f t="shared" si="27"/>
        <v>2</v>
      </c>
      <c r="C69" s="51" t="str">
        <f t="shared" si="15"/>
        <v>2002</v>
      </c>
      <c r="D69" s="30" t="s">
        <v>38</v>
      </c>
      <c r="E69" s="33">
        <v>2010</v>
      </c>
      <c r="F69" s="30" t="s">
        <v>345</v>
      </c>
      <c r="G69" s="30" t="s">
        <v>346</v>
      </c>
      <c r="H69" s="44" t="s">
        <v>762</v>
      </c>
      <c r="I69" s="40" t="s">
        <v>150</v>
      </c>
      <c r="J69" s="40" t="s">
        <v>151</v>
      </c>
      <c r="K69" s="49" t="s">
        <v>331</v>
      </c>
      <c r="L69" s="40">
        <v>3</v>
      </c>
      <c r="M69" s="40" t="s">
        <v>157</v>
      </c>
      <c r="N69" s="30" t="s">
        <v>153</v>
      </c>
      <c r="O69" s="30" t="s">
        <v>699</v>
      </c>
      <c r="P69" s="40">
        <v>2005</v>
      </c>
      <c r="Q69" s="30" t="s">
        <v>763</v>
      </c>
      <c r="R69" s="35">
        <v>910</v>
      </c>
      <c r="S69" s="43">
        <v>910</v>
      </c>
      <c r="T69" s="32">
        <f t="shared" si="16"/>
        <v>665.72021570000004</v>
      </c>
      <c r="U69" s="30" t="str">
        <f t="shared" si="17"/>
        <v>Not Cost-Effective</v>
      </c>
      <c r="V69" s="30" t="str">
        <f t="shared" si="18"/>
        <v>Cost-Effective</v>
      </c>
      <c r="W69" s="41">
        <f t="shared" si="19"/>
        <v>1.3669406133973887</v>
      </c>
      <c r="X69" s="55">
        <f t="shared" si="20"/>
        <v>0.69</v>
      </c>
      <c r="Y69" s="30" t="str">
        <f t="shared" si="21"/>
        <v>Not Cost-Effective</v>
      </c>
      <c r="Z69" s="55">
        <f t="shared" si="22"/>
        <v>0.52</v>
      </c>
      <c r="AA69" s="30" t="str">
        <f t="shared" si="28"/>
        <v>Not Cost-Effective</v>
      </c>
      <c r="AB69" s="55">
        <f t="shared" si="23"/>
        <v>0.35973480239731703</v>
      </c>
      <c r="AC69" s="30" t="str">
        <f t="shared" si="24"/>
        <v>Not Cost-Effective</v>
      </c>
      <c r="AD69" s="55">
        <f t="shared" si="25"/>
        <v>1.7130228685586526E-2</v>
      </c>
      <c r="AE69" s="30" t="str">
        <f t="shared" si="29"/>
        <v>Not Cost-Effective</v>
      </c>
      <c r="AF69" s="30" t="s">
        <v>173</v>
      </c>
      <c r="AG69" s="30" t="s">
        <v>174</v>
      </c>
    </row>
    <row r="70" spans="1:34" ht="12.75" customHeight="1">
      <c r="A70" s="40">
        <f t="shared" si="26"/>
        <v>20</v>
      </c>
      <c r="B70" s="40">
        <f t="shared" si="27"/>
        <v>3</v>
      </c>
      <c r="C70" s="51" t="str">
        <f t="shared" si="15"/>
        <v>2003</v>
      </c>
      <c r="D70" s="30" t="s">
        <v>38</v>
      </c>
      <c r="E70" s="33">
        <v>2010</v>
      </c>
      <c r="F70" s="30" t="s">
        <v>345</v>
      </c>
      <c r="G70" s="30" t="s">
        <v>346</v>
      </c>
      <c r="H70" s="44" t="s">
        <v>764</v>
      </c>
      <c r="I70" s="40" t="s">
        <v>183</v>
      </c>
      <c r="J70" s="40" t="s">
        <v>151</v>
      </c>
      <c r="K70" s="49" t="s">
        <v>331</v>
      </c>
      <c r="L70" s="40">
        <v>3</v>
      </c>
      <c r="M70" s="40" t="s">
        <v>157</v>
      </c>
      <c r="N70" s="30" t="s">
        <v>153</v>
      </c>
      <c r="O70" s="30" t="s">
        <v>699</v>
      </c>
      <c r="P70" s="40">
        <v>2005</v>
      </c>
      <c r="Q70" s="30" t="s">
        <v>761</v>
      </c>
      <c r="R70" s="35">
        <v>670</v>
      </c>
      <c r="S70" s="43">
        <v>670</v>
      </c>
      <c r="T70" s="32">
        <f t="shared" si="16"/>
        <v>665.72021570000004</v>
      </c>
      <c r="U70" s="30" t="str">
        <f t="shared" si="17"/>
        <v>Not Cost-Effective</v>
      </c>
      <c r="V70" s="30" t="str">
        <f t="shared" si="18"/>
        <v>Cost-Effective</v>
      </c>
      <c r="W70" s="41">
        <f t="shared" si="19"/>
        <v>1.0064288032706048</v>
      </c>
      <c r="X70" s="55">
        <f t="shared" si="20"/>
        <v>0.69</v>
      </c>
      <c r="Y70" s="30" t="str">
        <f t="shared" si="21"/>
        <v>Not Cost-Effective</v>
      </c>
      <c r="Z70" s="55">
        <f t="shared" si="22"/>
        <v>0.52</v>
      </c>
      <c r="AA70" s="30" t="str">
        <f t="shared" si="28"/>
        <v>Not Cost-Effective</v>
      </c>
      <c r="AB70" s="55">
        <f t="shared" si="23"/>
        <v>0.35973480239731703</v>
      </c>
      <c r="AC70" s="30" t="str">
        <f t="shared" si="24"/>
        <v>Not Cost-Effective</v>
      </c>
      <c r="AD70" s="55">
        <f t="shared" si="25"/>
        <v>1.7130228685586526E-2</v>
      </c>
      <c r="AE70" s="30" t="str">
        <f t="shared" si="29"/>
        <v>Not Cost-Effective</v>
      </c>
      <c r="AF70" s="30" t="s">
        <v>173</v>
      </c>
      <c r="AG70" s="30" t="s">
        <v>174</v>
      </c>
    </row>
    <row r="71" spans="1:34" ht="12.75" customHeight="1">
      <c r="A71" s="40">
        <f t="shared" si="26"/>
        <v>20</v>
      </c>
      <c r="B71" s="40">
        <f t="shared" si="27"/>
        <v>4</v>
      </c>
      <c r="C71" s="51" t="str">
        <f t="shared" si="15"/>
        <v>2004</v>
      </c>
      <c r="D71" s="30" t="s">
        <v>38</v>
      </c>
      <c r="E71" s="33">
        <v>2010</v>
      </c>
      <c r="F71" s="30" t="s">
        <v>345</v>
      </c>
      <c r="G71" s="30" t="s">
        <v>346</v>
      </c>
      <c r="H71" s="44" t="s">
        <v>765</v>
      </c>
      <c r="I71" s="40" t="s">
        <v>186</v>
      </c>
      <c r="J71" s="40" t="s">
        <v>151</v>
      </c>
      <c r="K71" s="49" t="s">
        <v>331</v>
      </c>
      <c r="L71" s="40">
        <v>3</v>
      </c>
      <c r="M71" s="40" t="s">
        <v>157</v>
      </c>
      <c r="N71" s="30" t="s">
        <v>153</v>
      </c>
      <c r="O71" s="30" t="s">
        <v>699</v>
      </c>
      <c r="P71" s="40">
        <v>2005</v>
      </c>
      <c r="Q71" s="30" t="s">
        <v>766</v>
      </c>
      <c r="R71" s="35">
        <v>570</v>
      </c>
      <c r="S71" s="43">
        <v>570</v>
      </c>
      <c r="T71" s="32">
        <f t="shared" si="16"/>
        <v>665.72021570000004</v>
      </c>
      <c r="U71" s="30" t="str">
        <f t="shared" si="17"/>
        <v>Cost-Effective</v>
      </c>
      <c r="V71" s="30" t="str">
        <f t="shared" si="18"/>
        <v>Cost-Effective</v>
      </c>
      <c r="W71" s="41">
        <f t="shared" si="19"/>
        <v>0.85621554905111164</v>
      </c>
      <c r="X71" s="55">
        <f t="shared" si="20"/>
        <v>0.69</v>
      </c>
      <c r="Y71" s="30" t="str">
        <f t="shared" si="21"/>
        <v>Not Cost-Effective</v>
      </c>
      <c r="Z71" s="55">
        <f t="shared" si="22"/>
        <v>0.52</v>
      </c>
      <c r="AA71" s="30" t="str">
        <f t="shared" si="28"/>
        <v>Not Cost-Effective</v>
      </c>
      <c r="AB71" s="55">
        <f t="shared" si="23"/>
        <v>0.35973480239731703</v>
      </c>
      <c r="AC71" s="30" t="str">
        <f t="shared" si="24"/>
        <v>Not Cost-Effective</v>
      </c>
      <c r="AD71" s="55">
        <f t="shared" si="25"/>
        <v>1.7130228685586526E-2</v>
      </c>
      <c r="AE71" s="30" t="str">
        <f t="shared" si="29"/>
        <v>Not Cost-Effective</v>
      </c>
      <c r="AF71" s="30" t="s">
        <v>173</v>
      </c>
      <c r="AG71" s="30" t="s">
        <v>174</v>
      </c>
    </row>
    <row r="72" spans="1:34" ht="12.75" customHeight="1">
      <c r="A72" s="40">
        <f t="shared" si="26"/>
        <v>20</v>
      </c>
      <c r="B72" s="40">
        <f t="shared" si="27"/>
        <v>5</v>
      </c>
      <c r="C72" s="51" t="str">
        <f t="shared" si="15"/>
        <v>2005</v>
      </c>
      <c r="D72" s="30" t="s">
        <v>38</v>
      </c>
      <c r="E72" s="33">
        <v>2010</v>
      </c>
      <c r="F72" s="30" t="s">
        <v>345</v>
      </c>
      <c r="G72" s="30" t="s">
        <v>346</v>
      </c>
      <c r="H72" s="44" t="s">
        <v>762</v>
      </c>
      <c r="I72" s="40" t="s">
        <v>150</v>
      </c>
      <c r="J72" s="40" t="s">
        <v>151</v>
      </c>
      <c r="K72" s="49" t="s">
        <v>331</v>
      </c>
      <c r="L72" s="40">
        <v>3</v>
      </c>
      <c r="M72" s="40" t="s">
        <v>148</v>
      </c>
      <c r="N72" s="30" t="s">
        <v>153</v>
      </c>
      <c r="O72" s="30" t="s">
        <v>699</v>
      </c>
      <c r="P72" s="40">
        <v>2005</v>
      </c>
      <c r="Q72" s="30" t="s">
        <v>767</v>
      </c>
      <c r="R72" s="35">
        <v>630</v>
      </c>
      <c r="S72" s="43">
        <v>630</v>
      </c>
      <c r="T72" s="32">
        <f t="shared" si="16"/>
        <v>665.72021570000004</v>
      </c>
      <c r="U72" s="30" t="str">
        <f t="shared" si="17"/>
        <v>Cost-Effective</v>
      </c>
      <c r="V72" s="30" t="str">
        <f t="shared" si="18"/>
        <v>Cost-Effective</v>
      </c>
      <c r="W72" s="41">
        <f t="shared" si="19"/>
        <v>0.94634350158280756</v>
      </c>
      <c r="X72" s="55">
        <f t="shared" si="20"/>
        <v>0.69</v>
      </c>
      <c r="Y72" s="30" t="str">
        <f t="shared" si="21"/>
        <v>Not Cost-Effective</v>
      </c>
      <c r="Z72" s="55">
        <f t="shared" si="22"/>
        <v>0.52</v>
      </c>
      <c r="AA72" s="30" t="str">
        <f t="shared" si="28"/>
        <v>Not Cost-Effective</v>
      </c>
      <c r="AB72" s="55">
        <f t="shared" si="23"/>
        <v>0.35973480239731703</v>
      </c>
      <c r="AC72" s="30" t="str">
        <f t="shared" si="24"/>
        <v>Not Cost-Effective</v>
      </c>
      <c r="AD72" s="55">
        <f t="shared" si="25"/>
        <v>1.7130228685586526E-2</v>
      </c>
      <c r="AE72" s="30" t="str">
        <f t="shared" si="29"/>
        <v>Not Cost-Effective</v>
      </c>
      <c r="AF72" s="30" t="s">
        <v>173</v>
      </c>
      <c r="AG72" s="30" t="s">
        <v>174</v>
      </c>
    </row>
    <row r="73" spans="1:34" ht="12.75" customHeight="1">
      <c r="A73" s="40">
        <f t="shared" si="26"/>
        <v>20</v>
      </c>
      <c r="B73" s="40">
        <f t="shared" si="27"/>
        <v>6</v>
      </c>
      <c r="C73" s="51" t="str">
        <f t="shared" si="15"/>
        <v>2006</v>
      </c>
      <c r="D73" s="30" t="s">
        <v>38</v>
      </c>
      <c r="E73" s="33">
        <v>2010</v>
      </c>
      <c r="F73" s="30" t="s">
        <v>345</v>
      </c>
      <c r="G73" s="30" t="s">
        <v>346</v>
      </c>
      <c r="H73" s="44" t="s">
        <v>764</v>
      </c>
      <c r="I73" s="40" t="s">
        <v>183</v>
      </c>
      <c r="J73" s="40" t="s">
        <v>151</v>
      </c>
      <c r="K73" s="49" t="s">
        <v>331</v>
      </c>
      <c r="L73" s="40">
        <v>3</v>
      </c>
      <c r="M73" s="40" t="s">
        <v>148</v>
      </c>
      <c r="N73" s="30" t="s">
        <v>153</v>
      </c>
      <c r="O73" s="30" t="s">
        <v>699</v>
      </c>
      <c r="P73" s="40">
        <v>2005</v>
      </c>
      <c r="Q73" s="30" t="s">
        <v>768</v>
      </c>
      <c r="R73" s="35">
        <v>430</v>
      </c>
      <c r="S73" s="43">
        <v>430</v>
      </c>
      <c r="T73" s="32">
        <f t="shared" si="16"/>
        <v>665.72021570000004</v>
      </c>
      <c r="U73" s="30" t="str">
        <f t="shared" si="17"/>
        <v>Cost-Effective</v>
      </c>
      <c r="V73" s="30" t="str">
        <f t="shared" si="18"/>
        <v>Cost-Effective</v>
      </c>
      <c r="W73" s="41">
        <f t="shared" si="19"/>
        <v>0.64591699314382101</v>
      </c>
      <c r="X73" s="55">
        <f t="shared" si="20"/>
        <v>0.69</v>
      </c>
      <c r="Y73" s="30" t="str">
        <f t="shared" si="21"/>
        <v>Cost-Effective</v>
      </c>
      <c r="Z73" s="55">
        <f t="shared" si="22"/>
        <v>0.52</v>
      </c>
      <c r="AA73" s="30" t="str">
        <f t="shared" si="28"/>
        <v>Not Cost-Effective</v>
      </c>
      <c r="AB73" s="55">
        <f t="shared" si="23"/>
        <v>0.35973480239731703</v>
      </c>
      <c r="AC73" s="30" t="str">
        <f t="shared" si="24"/>
        <v>Not Cost-Effective</v>
      </c>
      <c r="AD73" s="55">
        <f t="shared" si="25"/>
        <v>1.7130228685586526E-2</v>
      </c>
      <c r="AE73" s="30" t="str">
        <f t="shared" si="29"/>
        <v>Not Cost-Effective</v>
      </c>
      <c r="AF73" s="30" t="s">
        <v>173</v>
      </c>
      <c r="AG73" s="30" t="s">
        <v>174</v>
      </c>
    </row>
    <row r="74" spans="1:34" ht="12.75" customHeight="1">
      <c r="A74" s="40">
        <f t="shared" si="26"/>
        <v>20</v>
      </c>
      <c r="B74" s="40">
        <f t="shared" si="27"/>
        <v>7</v>
      </c>
      <c r="C74" s="51" t="str">
        <f t="shared" si="15"/>
        <v>2007</v>
      </c>
      <c r="D74" s="30" t="s">
        <v>38</v>
      </c>
      <c r="E74" s="33">
        <v>2010</v>
      </c>
      <c r="F74" s="30" t="s">
        <v>345</v>
      </c>
      <c r="G74" s="30" t="s">
        <v>346</v>
      </c>
      <c r="H74" s="44" t="s">
        <v>765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148</v>
      </c>
      <c r="N74" s="30" t="s">
        <v>153</v>
      </c>
      <c r="O74" s="30" t="s">
        <v>699</v>
      </c>
      <c r="P74" s="40">
        <v>2005</v>
      </c>
      <c r="Q74" s="30" t="s">
        <v>769</v>
      </c>
      <c r="R74" s="35">
        <v>370</v>
      </c>
      <c r="S74" s="43">
        <v>370</v>
      </c>
      <c r="T74" s="32">
        <f t="shared" si="16"/>
        <v>665.72021570000004</v>
      </c>
      <c r="U74" s="30" t="str">
        <f t="shared" si="17"/>
        <v>Cost-Effective</v>
      </c>
      <c r="V74" s="30" t="str">
        <f t="shared" si="18"/>
        <v>Cost-Effective</v>
      </c>
      <c r="W74" s="41">
        <f t="shared" si="19"/>
        <v>0.55578904061212508</v>
      </c>
      <c r="X74" s="55">
        <f t="shared" si="20"/>
        <v>0.69</v>
      </c>
      <c r="Y74" s="30" t="str">
        <f t="shared" si="21"/>
        <v>Cost-Effective</v>
      </c>
      <c r="Z74" s="55">
        <f t="shared" si="22"/>
        <v>0.52</v>
      </c>
      <c r="AA74" s="30" t="str">
        <f t="shared" si="28"/>
        <v>Not Cost-Effective</v>
      </c>
      <c r="AB74" s="55">
        <f t="shared" si="23"/>
        <v>0.35973480239731703</v>
      </c>
      <c r="AC74" s="30" t="str">
        <f t="shared" si="24"/>
        <v>Not Cost-Effective</v>
      </c>
      <c r="AD74" s="55">
        <f t="shared" si="25"/>
        <v>1.7130228685586526E-2</v>
      </c>
      <c r="AE74" s="30" t="str">
        <f t="shared" si="29"/>
        <v>Not Cost-Effective</v>
      </c>
      <c r="AF74" s="30" t="s">
        <v>173</v>
      </c>
      <c r="AG74" s="30" t="s">
        <v>174</v>
      </c>
    </row>
    <row r="75" spans="1:34" ht="12.75" customHeight="1">
      <c r="A75" s="40">
        <f t="shared" si="26"/>
        <v>21</v>
      </c>
      <c r="B75" s="40">
        <f t="shared" si="27"/>
        <v>1</v>
      </c>
      <c r="C75" s="51" t="str">
        <f t="shared" si="15"/>
        <v>2101</v>
      </c>
      <c r="D75" s="30" t="s">
        <v>363</v>
      </c>
      <c r="E75" s="33">
        <v>2011</v>
      </c>
      <c r="F75" s="30" t="s">
        <v>364</v>
      </c>
      <c r="G75" s="30" t="s">
        <v>365</v>
      </c>
      <c r="H75" s="44" t="s">
        <v>770</v>
      </c>
      <c r="I75" s="40" t="s">
        <v>183</v>
      </c>
      <c r="J75" s="40" t="s">
        <v>151</v>
      </c>
      <c r="K75" s="49" t="s">
        <v>198</v>
      </c>
      <c r="L75" s="40">
        <v>4</v>
      </c>
      <c r="M75" s="40" t="s">
        <v>157</v>
      </c>
      <c r="N75" s="30" t="s">
        <v>167</v>
      </c>
      <c r="O75" s="30" t="s">
        <v>699</v>
      </c>
      <c r="P75" s="40">
        <v>2009</v>
      </c>
      <c r="Q75" s="30" t="s">
        <v>771</v>
      </c>
      <c r="R75" s="35">
        <v>8973</v>
      </c>
      <c r="S75" s="43">
        <v>8973</v>
      </c>
      <c r="T75" s="32">
        <f t="shared" si="16"/>
        <v>8225.1375829999997</v>
      </c>
      <c r="U75" s="30" t="str">
        <f t="shared" si="17"/>
        <v>Not Cost-Effective</v>
      </c>
      <c r="V75" s="30" t="str">
        <f t="shared" si="18"/>
        <v>Cost-Effective</v>
      </c>
      <c r="W75" s="41">
        <f t="shared" si="19"/>
        <v>1.0909240009000831</v>
      </c>
      <c r="X75" s="55">
        <f t="shared" si="20"/>
        <v>0.56000000000000005</v>
      </c>
      <c r="Y75" s="30" t="str">
        <f t="shared" si="21"/>
        <v>Not Cost-Effective</v>
      </c>
      <c r="Z75" s="55">
        <f t="shared" si="22"/>
        <v>0.37</v>
      </c>
      <c r="AA75" s="30" t="str">
        <f t="shared" si="28"/>
        <v>Not Cost-Effective</v>
      </c>
      <c r="AB75" s="55">
        <f t="shared" si="23"/>
        <v>0</v>
      </c>
      <c r="AC75" s="30" t="str">
        <f t="shared" si="24"/>
        <v>No Threshold</v>
      </c>
      <c r="AD75" s="55">
        <f t="shared" si="25"/>
        <v>0</v>
      </c>
      <c r="AE75" s="30" t="str">
        <f t="shared" si="29"/>
        <v>No Threshold</v>
      </c>
      <c r="AF75" s="30" t="s">
        <v>173</v>
      </c>
      <c r="AG75" s="30" t="s">
        <v>174</v>
      </c>
      <c r="AH75" s="30" t="s">
        <v>772</v>
      </c>
    </row>
    <row r="76" spans="1:34" ht="12.75" customHeight="1">
      <c r="A76" s="40">
        <f t="shared" si="26"/>
        <v>21</v>
      </c>
      <c r="B76" s="40">
        <f t="shared" si="27"/>
        <v>2</v>
      </c>
      <c r="C76" s="51" t="str">
        <f t="shared" si="15"/>
        <v>2102</v>
      </c>
      <c r="D76" s="30" t="s">
        <v>363</v>
      </c>
      <c r="E76" s="33">
        <v>2011</v>
      </c>
      <c r="F76" s="30" t="s">
        <v>364</v>
      </c>
      <c r="G76" s="30" t="s">
        <v>365</v>
      </c>
      <c r="H76" s="44" t="s">
        <v>770</v>
      </c>
      <c r="I76" s="40" t="s">
        <v>183</v>
      </c>
      <c r="J76" s="40" t="s">
        <v>151</v>
      </c>
      <c r="K76" s="49" t="s">
        <v>198</v>
      </c>
      <c r="L76" s="40">
        <v>4</v>
      </c>
      <c r="M76" s="40" t="s">
        <v>148</v>
      </c>
      <c r="N76" s="30" t="s">
        <v>167</v>
      </c>
      <c r="O76" s="30" t="s">
        <v>699</v>
      </c>
      <c r="P76" s="40">
        <v>2009</v>
      </c>
      <c r="Q76" s="30" t="s">
        <v>773</v>
      </c>
      <c r="R76" s="35">
        <v>8546</v>
      </c>
      <c r="S76" s="43">
        <v>8546</v>
      </c>
      <c r="T76" s="32">
        <f t="shared" si="16"/>
        <v>8225.1375829999997</v>
      </c>
      <c r="U76" s="30" t="str">
        <f t="shared" si="17"/>
        <v>Not Cost-Effective</v>
      </c>
      <c r="V76" s="30" t="str">
        <f t="shared" si="18"/>
        <v>Cost-Effective</v>
      </c>
      <c r="W76" s="41">
        <f t="shared" si="19"/>
        <v>1.0390099756705797</v>
      </c>
      <c r="X76" s="55">
        <f t="shared" si="20"/>
        <v>0.56000000000000005</v>
      </c>
      <c r="Y76" s="30" t="str">
        <f t="shared" si="21"/>
        <v>Not Cost-Effective</v>
      </c>
      <c r="Z76" s="55">
        <f t="shared" si="22"/>
        <v>0.37</v>
      </c>
      <c r="AA76" s="30" t="str">
        <f t="shared" si="28"/>
        <v>Not Cost-Effective</v>
      </c>
      <c r="AB76" s="55">
        <f t="shared" si="23"/>
        <v>0</v>
      </c>
      <c r="AC76" s="30" t="str">
        <f t="shared" si="24"/>
        <v>No Threshold</v>
      </c>
      <c r="AD76" s="55">
        <f t="shared" si="25"/>
        <v>0</v>
      </c>
      <c r="AE76" s="30" t="str">
        <f t="shared" si="29"/>
        <v>No Threshold</v>
      </c>
      <c r="AF76" s="30" t="s">
        <v>173</v>
      </c>
      <c r="AG76" s="30" t="s">
        <v>174</v>
      </c>
      <c r="AH76" s="30" t="s">
        <v>772</v>
      </c>
    </row>
    <row r="77" spans="1:34" ht="12.75" customHeight="1">
      <c r="A77" s="40">
        <f t="shared" si="26"/>
        <v>21</v>
      </c>
      <c r="B77" s="40">
        <f t="shared" si="27"/>
        <v>3</v>
      </c>
      <c r="C77" s="51" t="str">
        <f t="shared" si="15"/>
        <v>2103</v>
      </c>
      <c r="D77" s="30" t="s">
        <v>363</v>
      </c>
      <c r="E77" s="33">
        <v>2011</v>
      </c>
      <c r="F77" s="30" t="s">
        <v>364</v>
      </c>
      <c r="G77" s="30" t="s">
        <v>365</v>
      </c>
      <c r="H77" s="44" t="s">
        <v>770</v>
      </c>
      <c r="I77" s="40" t="s">
        <v>186</v>
      </c>
      <c r="J77" s="40" t="s">
        <v>151</v>
      </c>
      <c r="K77" s="49" t="s">
        <v>198</v>
      </c>
      <c r="L77" s="40">
        <v>4</v>
      </c>
      <c r="M77" s="40" t="s">
        <v>157</v>
      </c>
      <c r="N77" s="30" t="s">
        <v>167</v>
      </c>
      <c r="O77" s="30" t="s">
        <v>699</v>
      </c>
      <c r="P77" s="40">
        <v>2009</v>
      </c>
      <c r="Q77" s="30" t="s">
        <v>774</v>
      </c>
      <c r="R77" s="35">
        <v>10948</v>
      </c>
      <c r="S77" s="43">
        <v>10948</v>
      </c>
      <c r="T77" s="32">
        <f t="shared" si="16"/>
        <v>8225.1375829999997</v>
      </c>
      <c r="U77" s="30" t="str">
        <f t="shared" si="17"/>
        <v>Not Cost-Effective</v>
      </c>
      <c r="V77" s="30" t="str">
        <f t="shared" si="18"/>
        <v>Cost-Effective</v>
      </c>
      <c r="W77" s="41">
        <f t="shared" si="19"/>
        <v>1.3310415649007146</v>
      </c>
      <c r="X77" s="55">
        <f t="shared" si="20"/>
        <v>0.56000000000000005</v>
      </c>
      <c r="Y77" s="30" t="str">
        <f t="shared" si="21"/>
        <v>Not Cost-Effective</v>
      </c>
      <c r="Z77" s="55">
        <f t="shared" si="22"/>
        <v>0.37</v>
      </c>
      <c r="AA77" s="30" t="str">
        <f t="shared" si="28"/>
        <v>Not Cost-Effective</v>
      </c>
      <c r="AB77" s="55">
        <f t="shared" si="23"/>
        <v>0</v>
      </c>
      <c r="AC77" s="30" t="str">
        <f t="shared" si="24"/>
        <v>No Threshold</v>
      </c>
      <c r="AD77" s="55">
        <f t="shared" si="25"/>
        <v>0</v>
      </c>
      <c r="AE77" s="30" t="str">
        <f t="shared" si="29"/>
        <v>No Threshold</v>
      </c>
      <c r="AF77" s="30" t="s">
        <v>173</v>
      </c>
      <c r="AG77" s="30" t="s">
        <v>174</v>
      </c>
      <c r="AH77" s="30" t="s">
        <v>772</v>
      </c>
    </row>
    <row r="78" spans="1:34" ht="12.75" customHeight="1">
      <c r="A78" s="40">
        <f t="shared" si="26"/>
        <v>21</v>
      </c>
      <c r="B78" s="40">
        <f t="shared" si="27"/>
        <v>4</v>
      </c>
      <c r="C78" s="51" t="str">
        <f t="shared" si="15"/>
        <v>2104</v>
      </c>
      <c r="D78" s="30" t="s">
        <v>363</v>
      </c>
      <c r="E78" s="33">
        <v>2011</v>
      </c>
      <c r="F78" s="30" t="s">
        <v>364</v>
      </c>
      <c r="G78" s="30" t="s">
        <v>365</v>
      </c>
      <c r="H78" s="44" t="s">
        <v>770</v>
      </c>
      <c r="I78" s="40" t="s">
        <v>186</v>
      </c>
      <c r="J78" s="40" t="s">
        <v>151</v>
      </c>
      <c r="K78" s="49" t="s">
        <v>198</v>
      </c>
      <c r="L78" s="40">
        <v>4</v>
      </c>
      <c r="M78" s="40" t="s">
        <v>148</v>
      </c>
      <c r="N78" s="30" t="s">
        <v>167</v>
      </c>
      <c r="O78" s="30" t="s">
        <v>699</v>
      </c>
      <c r="P78" s="40">
        <v>2009</v>
      </c>
      <c r="Q78" s="30" t="s">
        <v>775</v>
      </c>
      <c r="R78" s="35">
        <v>10510</v>
      </c>
      <c r="S78" s="43">
        <v>10510</v>
      </c>
      <c r="T78" s="32">
        <f t="shared" si="16"/>
        <v>8225.1375829999997</v>
      </c>
      <c r="U78" s="30" t="str">
        <f t="shared" si="17"/>
        <v>Not Cost-Effective</v>
      </c>
      <c r="V78" s="30" t="str">
        <f t="shared" si="18"/>
        <v>Cost-Effective</v>
      </c>
      <c r="W78" s="41">
        <f t="shared" si="19"/>
        <v>1.2777901760236126</v>
      </c>
      <c r="X78" s="55">
        <f t="shared" si="20"/>
        <v>0.56000000000000005</v>
      </c>
      <c r="Y78" s="30" t="str">
        <f t="shared" si="21"/>
        <v>Not Cost-Effective</v>
      </c>
      <c r="Z78" s="55">
        <f t="shared" si="22"/>
        <v>0.37</v>
      </c>
      <c r="AA78" s="30" t="str">
        <f t="shared" si="28"/>
        <v>Not Cost-Effective</v>
      </c>
      <c r="AB78" s="55">
        <f t="shared" si="23"/>
        <v>0</v>
      </c>
      <c r="AC78" s="30" t="str">
        <f t="shared" si="24"/>
        <v>No Threshold</v>
      </c>
      <c r="AD78" s="55">
        <f t="shared" si="25"/>
        <v>0</v>
      </c>
      <c r="AE78" s="30" t="str">
        <f t="shared" si="29"/>
        <v>No Threshold</v>
      </c>
      <c r="AF78" s="30" t="s">
        <v>173</v>
      </c>
      <c r="AG78" s="30" t="s">
        <v>174</v>
      </c>
      <c r="AH78" s="30" t="s">
        <v>772</v>
      </c>
    </row>
    <row r="79" spans="1:34" ht="12.75" customHeight="1">
      <c r="A79" s="40">
        <f t="shared" si="26"/>
        <v>21</v>
      </c>
      <c r="B79" s="40">
        <f t="shared" si="27"/>
        <v>5</v>
      </c>
      <c r="C79" s="51" t="str">
        <f t="shared" si="15"/>
        <v>2105</v>
      </c>
      <c r="D79" s="30" t="s">
        <v>363</v>
      </c>
      <c r="E79" s="33">
        <v>2011</v>
      </c>
      <c r="F79" s="30" t="s">
        <v>364</v>
      </c>
      <c r="G79" s="30" t="s">
        <v>365</v>
      </c>
      <c r="H79" s="44" t="s">
        <v>776</v>
      </c>
      <c r="I79" s="40" t="s">
        <v>186</v>
      </c>
      <c r="J79" s="40" t="s">
        <v>183</v>
      </c>
      <c r="K79" s="49" t="s">
        <v>198</v>
      </c>
      <c r="L79" s="40">
        <v>4</v>
      </c>
      <c r="M79" s="40" t="s">
        <v>157</v>
      </c>
      <c r="N79" s="30" t="s">
        <v>167</v>
      </c>
      <c r="O79" s="30" t="s">
        <v>699</v>
      </c>
      <c r="P79" s="40">
        <v>2009</v>
      </c>
      <c r="Q79" s="30" t="s">
        <v>777</v>
      </c>
      <c r="R79" s="35">
        <v>28147</v>
      </c>
      <c r="S79" s="43">
        <v>28147</v>
      </c>
      <c r="T79" s="32">
        <f t="shared" si="16"/>
        <v>8225.1375829999997</v>
      </c>
      <c r="U79" s="30" t="str">
        <f t="shared" si="17"/>
        <v>Not Cost-Effective</v>
      </c>
      <c r="V79" s="30" t="str">
        <f t="shared" si="18"/>
        <v>Not Cost-Effective</v>
      </c>
      <c r="W79" s="41">
        <f t="shared" si="19"/>
        <v>3.4220704171776042</v>
      </c>
      <c r="X79" s="55">
        <f t="shared" si="20"/>
        <v>0.56000000000000005</v>
      </c>
      <c r="Y79" s="30" t="str">
        <f t="shared" si="21"/>
        <v>Not Cost-Effective</v>
      </c>
      <c r="Z79" s="55">
        <f t="shared" si="22"/>
        <v>0.37</v>
      </c>
      <c r="AA79" s="30" t="str">
        <f t="shared" si="28"/>
        <v>Not Cost-Effective</v>
      </c>
      <c r="AB79" s="55">
        <f t="shared" si="23"/>
        <v>0</v>
      </c>
      <c r="AC79" s="30" t="str">
        <f t="shared" si="24"/>
        <v>No Threshold</v>
      </c>
      <c r="AD79" s="55">
        <f t="shared" si="25"/>
        <v>0</v>
      </c>
      <c r="AE79" s="30" t="str">
        <f t="shared" si="29"/>
        <v>No Threshold</v>
      </c>
      <c r="AF79" s="30" t="s">
        <v>173</v>
      </c>
      <c r="AG79" s="30" t="s">
        <v>174</v>
      </c>
      <c r="AH79" s="30" t="s">
        <v>772</v>
      </c>
    </row>
    <row r="80" spans="1:34" ht="12.75" customHeight="1">
      <c r="A80" s="40">
        <f t="shared" si="26"/>
        <v>22</v>
      </c>
      <c r="B80" s="40">
        <f t="shared" si="27"/>
        <v>1</v>
      </c>
      <c r="C80" s="51" t="str">
        <f t="shared" si="15"/>
        <v>2201</v>
      </c>
      <c r="D80" s="30" t="s">
        <v>375</v>
      </c>
      <c r="E80" s="33">
        <v>2011</v>
      </c>
      <c r="F80" s="30" t="s">
        <v>376</v>
      </c>
      <c r="G80" s="30" t="s">
        <v>346</v>
      </c>
      <c r="H80" s="44" t="s">
        <v>778</v>
      </c>
      <c r="I80" s="40" t="s">
        <v>348</v>
      </c>
      <c r="J80" s="40" t="s">
        <v>151</v>
      </c>
      <c r="K80" s="49" t="s">
        <v>331</v>
      </c>
      <c r="L80" s="40">
        <v>3</v>
      </c>
      <c r="M80" s="40" t="s">
        <v>157</v>
      </c>
      <c r="N80" s="30" t="s">
        <v>153</v>
      </c>
      <c r="O80" s="30" t="s">
        <v>699</v>
      </c>
      <c r="P80" s="40">
        <v>2005</v>
      </c>
      <c r="Q80" s="30" t="s">
        <v>779</v>
      </c>
      <c r="R80" s="35">
        <v>26</v>
      </c>
      <c r="S80" s="43">
        <v>26</v>
      </c>
      <c r="T80" s="32">
        <f t="shared" si="16"/>
        <v>665.72021570000004</v>
      </c>
      <c r="U80" s="30" t="str">
        <f t="shared" si="17"/>
        <v>Cost-Effective</v>
      </c>
      <c r="V80" s="30" t="str">
        <f t="shared" si="18"/>
        <v>Cost-Effective</v>
      </c>
      <c r="W80" s="41">
        <f t="shared" si="19"/>
        <v>3.905544609706825E-2</v>
      </c>
      <c r="X80" s="55">
        <f t="shared" si="20"/>
        <v>0.69</v>
      </c>
      <c r="Y80" s="30" t="str">
        <f t="shared" si="21"/>
        <v>Cost-Effective</v>
      </c>
      <c r="Z80" s="55">
        <f t="shared" si="22"/>
        <v>0.52</v>
      </c>
      <c r="AA80" s="30" t="str">
        <f t="shared" si="28"/>
        <v>Cost-Effective</v>
      </c>
      <c r="AB80" s="55">
        <f t="shared" si="23"/>
        <v>0.35973480239731703</v>
      </c>
      <c r="AC80" s="30" t="str">
        <f t="shared" si="24"/>
        <v>Cost-Effective</v>
      </c>
      <c r="AD80" s="55">
        <f t="shared" si="25"/>
        <v>1.7130228685586526E-2</v>
      </c>
      <c r="AE80" s="30" t="str">
        <f t="shared" si="29"/>
        <v>Not Cost-Effective</v>
      </c>
      <c r="AF80" s="30" t="s">
        <v>210</v>
      </c>
      <c r="AG80" s="30" t="s">
        <v>174</v>
      </c>
    </row>
    <row r="81" spans="1:34" ht="12.75" customHeight="1">
      <c r="A81" s="40">
        <f t="shared" si="26"/>
        <v>23</v>
      </c>
      <c r="B81" s="40">
        <f t="shared" si="27"/>
        <v>1</v>
      </c>
      <c r="C81" s="51" t="str">
        <f t="shared" si="15"/>
        <v>2301</v>
      </c>
      <c r="D81" s="30" t="s">
        <v>380</v>
      </c>
      <c r="E81" s="33">
        <v>2013</v>
      </c>
      <c r="F81" s="30" t="s">
        <v>381</v>
      </c>
      <c r="G81" s="30" t="s">
        <v>382</v>
      </c>
      <c r="H81" s="44" t="s">
        <v>780</v>
      </c>
      <c r="I81" s="40" t="s">
        <v>183</v>
      </c>
      <c r="J81" s="40" t="s">
        <v>151</v>
      </c>
      <c r="K81" s="49" t="s">
        <v>383</v>
      </c>
      <c r="L81" s="40">
        <v>2</v>
      </c>
      <c r="M81" s="40" t="s">
        <v>157</v>
      </c>
      <c r="N81" s="30" t="s">
        <v>153</v>
      </c>
      <c r="O81" s="30" t="s">
        <v>699</v>
      </c>
      <c r="P81" s="40">
        <v>2010</v>
      </c>
      <c r="Q81" s="30" t="s">
        <v>781</v>
      </c>
      <c r="R81" s="35">
        <v>59</v>
      </c>
      <c r="S81" s="43">
        <v>59</v>
      </c>
      <c r="T81" s="32">
        <f t="shared" si="16"/>
        <v>1080.296184</v>
      </c>
      <c r="U81" s="30" t="str">
        <f t="shared" si="17"/>
        <v>Cost-Effective</v>
      </c>
      <c r="V81" s="30" t="str">
        <f t="shared" si="18"/>
        <v>Cost-Effective</v>
      </c>
      <c r="W81" s="41">
        <f t="shared" si="19"/>
        <v>5.461465186477045E-2</v>
      </c>
      <c r="X81" s="55">
        <f t="shared" si="20"/>
        <v>0.47</v>
      </c>
      <c r="Y81" s="30" t="str">
        <f t="shared" si="21"/>
        <v>Cost-Effective</v>
      </c>
      <c r="Z81" s="55">
        <f t="shared" si="22"/>
        <v>0.36</v>
      </c>
      <c r="AA81" s="30" t="str">
        <f t="shared" si="28"/>
        <v>Cost-Effective</v>
      </c>
      <c r="AB81" s="55">
        <f t="shared" si="23"/>
        <v>0.38307648302682684</v>
      </c>
      <c r="AC81" s="30" t="str">
        <f t="shared" si="24"/>
        <v>Cost-Effective</v>
      </c>
      <c r="AD81" s="55">
        <f t="shared" si="25"/>
        <v>2.3619359261769671E-2</v>
      </c>
      <c r="AE81" s="30" t="str">
        <f t="shared" si="29"/>
        <v>Not Cost-Effective</v>
      </c>
      <c r="AF81" s="30" t="s">
        <v>210</v>
      </c>
      <c r="AG81" s="30" t="s">
        <v>174</v>
      </c>
    </row>
    <row r="82" spans="1:34" ht="12.75" customHeight="1">
      <c r="A82" s="40">
        <f t="shared" si="26"/>
        <v>23</v>
      </c>
      <c r="B82" s="40">
        <f t="shared" si="27"/>
        <v>2</v>
      </c>
      <c r="C82" s="51" t="str">
        <f t="shared" si="15"/>
        <v>2302</v>
      </c>
      <c r="D82" s="30" t="s">
        <v>380</v>
      </c>
      <c r="E82" s="33">
        <v>2013</v>
      </c>
      <c r="F82" s="30" t="s">
        <v>381</v>
      </c>
      <c r="G82" s="30" t="s">
        <v>382</v>
      </c>
      <c r="H82" s="44" t="s">
        <v>782</v>
      </c>
      <c r="I82" s="40" t="s">
        <v>186</v>
      </c>
      <c r="J82" s="40" t="s">
        <v>151</v>
      </c>
      <c r="K82" s="49" t="s">
        <v>383</v>
      </c>
      <c r="L82" s="40">
        <v>2</v>
      </c>
      <c r="M82" s="40" t="s">
        <v>157</v>
      </c>
      <c r="N82" s="30" t="s">
        <v>153</v>
      </c>
      <c r="O82" s="30" t="s">
        <v>699</v>
      </c>
      <c r="P82" s="40">
        <v>2010</v>
      </c>
      <c r="Q82" s="30" t="s">
        <v>783</v>
      </c>
      <c r="R82" s="35">
        <v>47</v>
      </c>
      <c r="S82" s="43">
        <v>47</v>
      </c>
      <c r="T82" s="32">
        <f t="shared" si="16"/>
        <v>1080.296184</v>
      </c>
      <c r="U82" s="30" t="str">
        <f t="shared" si="17"/>
        <v>Cost-Effective</v>
      </c>
      <c r="V82" s="30" t="str">
        <f t="shared" si="18"/>
        <v>Cost-Effective</v>
      </c>
      <c r="W82" s="41">
        <f t="shared" si="19"/>
        <v>4.3506587078715443E-2</v>
      </c>
      <c r="X82" s="55">
        <f t="shared" si="20"/>
        <v>0.47</v>
      </c>
      <c r="Y82" s="30" t="str">
        <f t="shared" si="21"/>
        <v>Cost-Effective</v>
      </c>
      <c r="Z82" s="55">
        <f t="shared" si="22"/>
        <v>0.36</v>
      </c>
      <c r="AA82" s="30" t="str">
        <f t="shared" si="28"/>
        <v>Cost-Effective</v>
      </c>
      <c r="AB82" s="55">
        <f t="shared" si="23"/>
        <v>0.38307648302682684</v>
      </c>
      <c r="AC82" s="30" t="str">
        <f t="shared" si="24"/>
        <v>Cost-Effective</v>
      </c>
      <c r="AD82" s="55">
        <f t="shared" si="25"/>
        <v>2.3619359261769671E-2</v>
      </c>
      <c r="AE82" s="30" t="str">
        <f t="shared" si="29"/>
        <v>Not Cost-Effective</v>
      </c>
      <c r="AF82" s="30" t="s">
        <v>210</v>
      </c>
      <c r="AG82" s="30" t="s">
        <v>174</v>
      </c>
    </row>
    <row r="83" spans="1:34" ht="12.75" customHeight="1">
      <c r="A83" s="40">
        <f t="shared" si="26"/>
        <v>23</v>
      </c>
      <c r="B83" s="40">
        <f t="shared" si="27"/>
        <v>3</v>
      </c>
      <c r="C83" s="51" t="str">
        <f t="shared" si="15"/>
        <v>2303</v>
      </c>
      <c r="D83" s="30" t="s">
        <v>380</v>
      </c>
      <c r="E83" s="33">
        <v>2013</v>
      </c>
      <c r="F83" s="30" t="s">
        <v>381</v>
      </c>
      <c r="G83" s="30" t="s">
        <v>382</v>
      </c>
      <c r="H83" s="44" t="s">
        <v>782</v>
      </c>
      <c r="I83" s="40" t="s">
        <v>183</v>
      </c>
      <c r="J83" s="40" t="s">
        <v>151</v>
      </c>
      <c r="K83" s="49" t="s">
        <v>383</v>
      </c>
      <c r="L83" s="40">
        <v>2</v>
      </c>
      <c r="M83" s="40" t="s">
        <v>148</v>
      </c>
      <c r="N83" s="30" t="s">
        <v>153</v>
      </c>
      <c r="O83" s="30" t="s">
        <v>699</v>
      </c>
      <c r="P83" s="40">
        <v>2010</v>
      </c>
      <c r="Q83" s="30" t="s">
        <v>784</v>
      </c>
      <c r="R83" s="35">
        <v>32</v>
      </c>
      <c r="S83" s="43">
        <v>32</v>
      </c>
      <c r="T83" s="32">
        <f t="shared" si="16"/>
        <v>1080.296184</v>
      </c>
      <c r="U83" s="30" t="str">
        <f t="shared" si="17"/>
        <v>Cost-Effective</v>
      </c>
      <c r="V83" s="30" t="str">
        <f t="shared" si="18"/>
        <v>Cost-Effective</v>
      </c>
      <c r="W83" s="41">
        <f t="shared" si="19"/>
        <v>2.9621506096146683E-2</v>
      </c>
      <c r="X83" s="55">
        <f t="shared" si="20"/>
        <v>0.47</v>
      </c>
      <c r="Y83" s="30" t="str">
        <f t="shared" si="21"/>
        <v>Cost-Effective</v>
      </c>
      <c r="Z83" s="55">
        <f t="shared" si="22"/>
        <v>0.36</v>
      </c>
      <c r="AA83" s="30" t="str">
        <f t="shared" si="28"/>
        <v>Cost-Effective</v>
      </c>
      <c r="AB83" s="55">
        <f t="shared" si="23"/>
        <v>0.38307648302682684</v>
      </c>
      <c r="AC83" s="30" t="str">
        <f t="shared" si="24"/>
        <v>Cost-Effective</v>
      </c>
      <c r="AD83" s="55">
        <f t="shared" si="25"/>
        <v>2.3619359261769671E-2</v>
      </c>
      <c r="AE83" s="30" t="str">
        <f t="shared" si="29"/>
        <v>Not Cost-Effective</v>
      </c>
      <c r="AF83" s="30" t="s">
        <v>210</v>
      </c>
      <c r="AG83" s="30" t="s">
        <v>174</v>
      </c>
    </row>
    <row r="84" spans="1:34" ht="12.75" customHeight="1">
      <c r="A84" s="40">
        <f t="shared" si="26"/>
        <v>23</v>
      </c>
      <c r="B84" s="40">
        <f t="shared" si="27"/>
        <v>4</v>
      </c>
      <c r="C84" s="51" t="str">
        <f t="shared" si="15"/>
        <v>2304</v>
      </c>
      <c r="D84" s="30" t="s">
        <v>380</v>
      </c>
      <c r="E84" s="33">
        <v>2013</v>
      </c>
      <c r="F84" s="30" t="s">
        <v>381</v>
      </c>
      <c r="G84" s="30" t="s">
        <v>382</v>
      </c>
      <c r="H84" s="44" t="s">
        <v>782</v>
      </c>
      <c r="I84" s="40" t="s">
        <v>186</v>
      </c>
      <c r="J84" s="40" t="s">
        <v>151</v>
      </c>
      <c r="K84" s="49" t="s">
        <v>383</v>
      </c>
      <c r="L84" s="40">
        <v>2</v>
      </c>
      <c r="M84" s="40" t="s">
        <v>148</v>
      </c>
      <c r="N84" s="30" t="s">
        <v>153</v>
      </c>
      <c r="O84" s="30" t="s">
        <v>699</v>
      </c>
      <c r="P84" s="40">
        <v>2010</v>
      </c>
      <c r="Q84" s="30" t="s">
        <v>785</v>
      </c>
      <c r="R84" s="35">
        <v>25</v>
      </c>
      <c r="S84" s="43">
        <v>25</v>
      </c>
      <c r="T84" s="32">
        <f t="shared" si="16"/>
        <v>1080.296184</v>
      </c>
      <c r="U84" s="30" t="str">
        <f t="shared" si="17"/>
        <v>Cost-Effective</v>
      </c>
      <c r="V84" s="30" t="str">
        <f t="shared" si="18"/>
        <v>Cost-Effective</v>
      </c>
      <c r="W84" s="41">
        <f t="shared" si="19"/>
        <v>2.3141801637614597E-2</v>
      </c>
      <c r="X84" s="55">
        <f t="shared" si="20"/>
        <v>0.47</v>
      </c>
      <c r="Y84" s="30" t="str">
        <f t="shared" si="21"/>
        <v>Cost-Effective</v>
      </c>
      <c r="Z84" s="55">
        <f t="shared" si="22"/>
        <v>0.36</v>
      </c>
      <c r="AA84" s="30" t="str">
        <f t="shared" si="28"/>
        <v>Cost-Effective</v>
      </c>
      <c r="AB84" s="55">
        <f t="shared" si="23"/>
        <v>0.38307648302682684</v>
      </c>
      <c r="AC84" s="30" t="str">
        <f t="shared" si="24"/>
        <v>Cost-Effective</v>
      </c>
      <c r="AD84" s="55">
        <f t="shared" si="25"/>
        <v>2.3619359261769671E-2</v>
      </c>
      <c r="AE84" s="30" t="str">
        <f t="shared" si="29"/>
        <v>Cost-Effective</v>
      </c>
      <c r="AF84" s="30" t="s">
        <v>210</v>
      </c>
      <c r="AG84" s="30" t="s">
        <v>174</v>
      </c>
    </row>
    <row r="85" spans="1:34" ht="12.75" customHeight="1">
      <c r="A85" s="40">
        <f t="shared" si="26"/>
        <v>24</v>
      </c>
      <c r="B85" s="40">
        <f t="shared" si="27"/>
        <v>1</v>
      </c>
      <c r="C85" s="51" t="str">
        <f t="shared" si="15"/>
        <v>2401</v>
      </c>
      <c r="D85" s="30" t="s">
        <v>389</v>
      </c>
      <c r="E85" s="33">
        <v>2015</v>
      </c>
      <c r="F85" s="30" t="s">
        <v>390</v>
      </c>
      <c r="G85" s="30" t="s">
        <v>391</v>
      </c>
      <c r="H85" s="44" t="s">
        <v>786</v>
      </c>
      <c r="I85" s="40" t="s">
        <v>183</v>
      </c>
      <c r="J85" s="40" t="s">
        <v>151</v>
      </c>
      <c r="K85" s="49" t="s">
        <v>392</v>
      </c>
      <c r="L85" s="40">
        <v>1</v>
      </c>
      <c r="M85" s="40" t="s">
        <v>157</v>
      </c>
      <c r="N85" s="30" t="s">
        <v>167</v>
      </c>
      <c r="O85" s="30" t="s">
        <v>699</v>
      </c>
      <c r="P85" s="40">
        <v>2011</v>
      </c>
      <c r="Q85" s="30" t="s">
        <v>787</v>
      </c>
      <c r="R85" s="35">
        <v>114.84</v>
      </c>
      <c r="S85" s="43">
        <v>114.84</v>
      </c>
      <c r="T85" s="32">
        <f t="shared" si="16"/>
        <v>297.95535776596103</v>
      </c>
      <c r="U85" s="30" t="str">
        <f t="shared" si="17"/>
        <v>Cost-Effective</v>
      </c>
      <c r="V85" s="30" t="str">
        <f t="shared" si="18"/>
        <v>Cost-Effective</v>
      </c>
      <c r="W85" s="41">
        <f t="shared" si="19"/>
        <v>0.38542686683353722</v>
      </c>
      <c r="X85" s="55">
        <f t="shared" si="20"/>
        <v>0</v>
      </c>
      <c r="Y85" s="30" t="str">
        <f t="shared" si="21"/>
        <v>No Threshold</v>
      </c>
      <c r="Z85" s="55">
        <f t="shared" si="22"/>
        <v>0</v>
      </c>
      <c r="AA85" s="30" t="str">
        <f t="shared" si="28"/>
        <v>No Threshold</v>
      </c>
      <c r="AB85" s="55">
        <f t="shared" si="23"/>
        <v>0</v>
      </c>
      <c r="AC85" s="30" t="str">
        <f t="shared" si="24"/>
        <v>No Threshold</v>
      </c>
      <c r="AD85" s="55">
        <f t="shared" si="25"/>
        <v>0</v>
      </c>
      <c r="AE85" s="30" t="str">
        <f t="shared" si="29"/>
        <v>No Threshold</v>
      </c>
      <c r="AF85" s="30" t="s">
        <v>173</v>
      </c>
      <c r="AG85" s="30" t="s">
        <v>174</v>
      </c>
    </row>
    <row r="86" spans="1:34" ht="12.75" customHeight="1">
      <c r="A86" s="40">
        <f t="shared" si="26"/>
        <v>24</v>
      </c>
      <c r="B86" s="40">
        <f t="shared" si="27"/>
        <v>2</v>
      </c>
      <c r="C86" s="51" t="str">
        <f t="shared" si="15"/>
        <v>2402</v>
      </c>
      <c r="D86" s="30" t="s">
        <v>389</v>
      </c>
      <c r="E86" s="33">
        <v>2015</v>
      </c>
      <c r="F86" s="30" t="s">
        <v>390</v>
      </c>
      <c r="G86" s="30" t="s">
        <v>391</v>
      </c>
      <c r="H86" s="44" t="s">
        <v>788</v>
      </c>
      <c r="I86" s="40" t="s">
        <v>183</v>
      </c>
      <c r="J86" s="40" t="s">
        <v>151</v>
      </c>
      <c r="K86" s="49" t="s">
        <v>383</v>
      </c>
      <c r="L86" s="40">
        <v>2</v>
      </c>
      <c r="M86" s="40" t="s">
        <v>157</v>
      </c>
      <c r="N86" s="30" t="s">
        <v>167</v>
      </c>
      <c r="O86" s="30" t="s">
        <v>699</v>
      </c>
      <c r="P86" s="40">
        <v>2011</v>
      </c>
      <c r="Q86" s="30" t="s">
        <v>789</v>
      </c>
      <c r="R86" s="35">
        <v>161.51</v>
      </c>
      <c r="S86" s="43">
        <v>161.51</v>
      </c>
      <c r="T86" s="32">
        <f t="shared" si="16"/>
        <v>297.95535776596103</v>
      </c>
      <c r="U86" s="30" t="str">
        <f t="shared" si="17"/>
        <v>Cost-Effective</v>
      </c>
      <c r="V86" s="30" t="str">
        <f t="shared" si="18"/>
        <v>Cost-Effective</v>
      </c>
      <c r="W86" s="41">
        <f t="shared" si="19"/>
        <v>0.54206106985618763</v>
      </c>
      <c r="X86" s="55">
        <f t="shared" si="20"/>
        <v>0</v>
      </c>
      <c r="Y86" s="30" t="str">
        <f t="shared" si="21"/>
        <v>No Threshold</v>
      </c>
      <c r="Z86" s="55">
        <f t="shared" si="22"/>
        <v>0</v>
      </c>
      <c r="AA86" s="30" t="str">
        <f t="shared" si="28"/>
        <v>No Threshold</v>
      </c>
      <c r="AB86" s="55">
        <f t="shared" si="23"/>
        <v>0</v>
      </c>
      <c r="AC86" s="30" t="str">
        <f t="shared" si="24"/>
        <v>No Threshold</v>
      </c>
      <c r="AD86" s="55">
        <f t="shared" si="25"/>
        <v>0</v>
      </c>
      <c r="AE86" s="30" t="str">
        <f t="shared" si="29"/>
        <v>No Threshold</v>
      </c>
      <c r="AF86" s="30" t="s">
        <v>173</v>
      </c>
      <c r="AG86" s="30" t="s">
        <v>174</v>
      </c>
    </row>
    <row r="87" spans="1:34" ht="12.75" customHeight="1">
      <c r="A87" s="40">
        <f t="shared" si="26"/>
        <v>25</v>
      </c>
      <c r="B87" s="40">
        <f t="shared" si="27"/>
        <v>1</v>
      </c>
      <c r="C87" s="51" t="str">
        <f t="shared" si="15"/>
        <v>2501</v>
      </c>
      <c r="D87" s="30" t="s">
        <v>396</v>
      </c>
      <c r="E87" s="33">
        <v>2015</v>
      </c>
      <c r="F87" s="30" t="s">
        <v>397</v>
      </c>
      <c r="G87" s="30" t="s">
        <v>398</v>
      </c>
      <c r="H87" s="44" t="s">
        <v>790</v>
      </c>
      <c r="I87" s="40" t="s">
        <v>186</v>
      </c>
      <c r="J87" s="40" t="s">
        <v>151</v>
      </c>
      <c r="K87" s="49" t="s">
        <v>331</v>
      </c>
      <c r="L87" s="40">
        <v>3</v>
      </c>
      <c r="M87" s="40" t="s">
        <v>157</v>
      </c>
      <c r="N87" s="30" t="s">
        <v>167</v>
      </c>
      <c r="O87" s="30" t="s">
        <v>699</v>
      </c>
      <c r="P87" s="40">
        <v>2013</v>
      </c>
      <c r="Q87" s="30" t="s">
        <v>791</v>
      </c>
      <c r="R87" s="35">
        <v>3916</v>
      </c>
      <c r="S87" s="43">
        <v>3916</v>
      </c>
      <c r="T87" s="32">
        <f t="shared" si="16"/>
        <v>3262.6575864710398</v>
      </c>
      <c r="U87" s="30" t="str">
        <f t="shared" si="17"/>
        <v>Not Cost-Effective</v>
      </c>
      <c r="V87" s="30" t="str">
        <f t="shared" si="18"/>
        <v>Cost-Effective</v>
      </c>
      <c r="W87" s="41">
        <f t="shared" si="19"/>
        <v>1.2002485385650381</v>
      </c>
      <c r="X87" s="55">
        <f t="shared" si="20"/>
        <v>0.41</v>
      </c>
      <c r="Y87" s="30" t="str">
        <f t="shared" si="21"/>
        <v>Not Cost-Effective</v>
      </c>
      <c r="Z87" s="55">
        <f t="shared" si="22"/>
        <v>0.27</v>
      </c>
      <c r="AA87" s="30" t="str">
        <f t="shared" si="28"/>
        <v>Not Cost-Effective</v>
      </c>
      <c r="AB87" s="55">
        <f t="shared" si="23"/>
        <v>0.61085172046989811</v>
      </c>
      <c r="AC87" s="30" t="str">
        <f t="shared" si="24"/>
        <v>Not Cost-Effective</v>
      </c>
      <c r="AD87" s="55">
        <f t="shared" si="25"/>
        <v>0.1599922719946246</v>
      </c>
      <c r="AE87" s="30" t="str">
        <f t="shared" si="29"/>
        <v>Not Cost-Effective</v>
      </c>
      <c r="AF87" s="30" t="s">
        <v>173</v>
      </c>
      <c r="AG87" s="30" t="s">
        <v>174</v>
      </c>
    </row>
    <row r="88" spans="1:34" ht="12.75" customHeight="1">
      <c r="A88" s="40">
        <f t="shared" si="26"/>
        <v>26</v>
      </c>
      <c r="B88" s="40">
        <f t="shared" si="27"/>
        <v>1</v>
      </c>
      <c r="C88" s="51" t="str">
        <f t="shared" si="15"/>
        <v>2601</v>
      </c>
      <c r="D88" s="30" t="s">
        <v>56</v>
      </c>
      <c r="E88" s="33">
        <v>2015</v>
      </c>
      <c r="F88" s="30" t="s">
        <v>403</v>
      </c>
      <c r="G88" s="30" t="s">
        <v>404</v>
      </c>
      <c r="H88" s="44" t="s">
        <v>764</v>
      </c>
      <c r="I88" s="40" t="s">
        <v>183</v>
      </c>
      <c r="J88" s="40" t="s">
        <v>151</v>
      </c>
      <c r="K88" s="49" t="s">
        <v>198</v>
      </c>
      <c r="L88" s="40">
        <v>4</v>
      </c>
      <c r="M88" s="40" t="s">
        <v>157</v>
      </c>
      <c r="N88" s="30" t="s">
        <v>167</v>
      </c>
      <c r="O88" s="30" t="s">
        <v>699</v>
      </c>
      <c r="P88" s="40">
        <v>2012</v>
      </c>
      <c r="Q88" s="30" t="s">
        <v>792</v>
      </c>
      <c r="R88" s="35">
        <v>1605</v>
      </c>
      <c r="S88" s="43">
        <v>1605</v>
      </c>
      <c r="T88" s="32">
        <f t="shared" si="16"/>
        <v>6528.971775</v>
      </c>
      <c r="U88" s="30" t="str">
        <f t="shared" si="17"/>
        <v>Cost-Effective</v>
      </c>
      <c r="V88" s="30" t="str">
        <f t="shared" si="18"/>
        <v>Cost-Effective</v>
      </c>
      <c r="W88" s="41">
        <f t="shared" si="19"/>
        <v>0.24582737608786798</v>
      </c>
      <c r="X88" s="55">
        <f t="shared" si="20"/>
        <v>1.08</v>
      </c>
      <c r="Y88" s="30" t="str">
        <f t="shared" si="21"/>
        <v>Cost-Effective</v>
      </c>
      <c r="Z88" s="55">
        <f t="shared" si="22"/>
        <v>0.64</v>
      </c>
      <c r="AA88" s="30" t="str">
        <f t="shared" si="28"/>
        <v>Cost-Effective</v>
      </c>
      <c r="AB88" s="55">
        <f t="shared" si="23"/>
        <v>0.64868436103329219</v>
      </c>
      <c r="AC88" s="30" t="str">
        <f t="shared" si="24"/>
        <v>Cost-Effective</v>
      </c>
      <c r="AD88" s="55">
        <f t="shared" si="25"/>
        <v>0.16487209176159878</v>
      </c>
      <c r="AE88" s="30" t="str">
        <f t="shared" si="29"/>
        <v>Not Cost-Effective</v>
      </c>
      <c r="AF88" s="30" t="s">
        <v>210</v>
      </c>
      <c r="AG88" s="30" t="s">
        <v>174</v>
      </c>
    </row>
    <row r="89" spans="1:34" ht="12.75" customHeight="1">
      <c r="A89" s="40">
        <f t="shared" si="26"/>
        <v>26</v>
      </c>
      <c r="B89" s="40">
        <f t="shared" si="27"/>
        <v>2</v>
      </c>
      <c r="C89" s="51" t="str">
        <f t="shared" si="15"/>
        <v>2602</v>
      </c>
      <c r="D89" s="30" t="s">
        <v>56</v>
      </c>
      <c r="E89" s="33">
        <v>2015</v>
      </c>
      <c r="F89" s="30" t="s">
        <v>403</v>
      </c>
      <c r="G89" s="30" t="s">
        <v>404</v>
      </c>
      <c r="H89" s="44" t="s">
        <v>765</v>
      </c>
      <c r="I89" s="40" t="s">
        <v>186</v>
      </c>
      <c r="J89" s="40" t="s">
        <v>151</v>
      </c>
      <c r="K89" s="49" t="s">
        <v>198</v>
      </c>
      <c r="L89" s="40">
        <v>4</v>
      </c>
      <c r="M89" s="40" t="s">
        <v>157</v>
      </c>
      <c r="N89" s="30" t="s">
        <v>167</v>
      </c>
      <c r="O89" s="30" t="s">
        <v>699</v>
      </c>
      <c r="P89" s="40">
        <v>2012</v>
      </c>
      <c r="Q89" s="30" t="s">
        <v>793</v>
      </c>
      <c r="R89" s="35">
        <v>1304</v>
      </c>
      <c r="S89" s="43">
        <v>1304</v>
      </c>
      <c r="T89" s="32">
        <f t="shared" si="16"/>
        <v>6528.971775</v>
      </c>
      <c r="U89" s="30" t="str">
        <f t="shared" si="17"/>
        <v>Cost-Effective</v>
      </c>
      <c r="V89" s="30" t="str">
        <f t="shared" si="18"/>
        <v>Cost-Effective</v>
      </c>
      <c r="W89" s="41">
        <f t="shared" si="19"/>
        <v>0.19972517035425535</v>
      </c>
      <c r="X89" s="55">
        <f t="shared" si="20"/>
        <v>1.08</v>
      </c>
      <c r="Y89" s="30" t="str">
        <f t="shared" si="21"/>
        <v>Cost-Effective</v>
      </c>
      <c r="Z89" s="55">
        <f t="shared" si="22"/>
        <v>0.64</v>
      </c>
      <c r="AA89" s="30" t="str">
        <f t="shared" si="28"/>
        <v>Cost-Effective</v>
      </c>
      <c r="AB89" s="55">
        <f t="shared" si="23"/>
        <v>0.64868436103329219</v>
      </c>
      <c r="AC89" s="30" t="str">
        <f t="shared" si="24"/>
        <v>Cost-Effective</v>
      </c>
      <c r="AD89" s="55">
        <f t="shared" si="25"/>
        <v>0.16487209176159878</v>
      </c>
      <c r="AE89" s="30" t="str">
        <f t="shared" si="29"/>
        <v>Not Cost-Effective</v>
      </c>
      <c r="AF89" s="30" t="s">
        <v>210</v>
      </c>
      <c r="AG89" s="30" t="s">
        <v>174</v>
      </c>
    </row>
    <row r="90" spans="1:34" ht="12.75" customHeight="1">
      <c r="A90" s="40">
        <f t="shared" si="26"/>
        <v>26</v>
      </c>
      <c r="B90" s="40">
        <f t="shared" si="27"/>
        <v>3</v>
      </c>
      <c r="C90" s="51" t="str">
        <f t="shared" si="15"/>
        <v>2603</v>
      </c>
      <c r="D90" s="30" t="s">
        <v>56</v>
      </c>
      <c r="E90" s="33">
        <v>2015</v>
      </c>
      <c r="F90" s="30" t="s">
        <v>403</v>
      </c>
      <c r="G90" s="30" t="s">
        <v>404</v>
      </c>
      <c r="H90" s="44" t="s">
        <v>794</v>
      </c>
      <c r="I90" s="40" t="s">
        <v>186</v>
      </c>
      <c r="J90" s="40" t="s">
        <v>183</v>
      </c>
      <c r="K90" s="49" t="s">
        <v>198</v>
      </c>
      <c r="L90" s="40">
        <v>4</v>
      </c>
      <c r="M90" s="40" t="s">
        <v>157</v>
      </c>
      <c r="N90" s="30" t="s">
        <v>167</v>
      </c>
      <c r="O90" s="30" t="s">
        <v>699</v>
      </c>
      <c r="P90" s="40">
        <v>2012</v>
      </c>
      <c r="Q90" s="30" t="s">
        <v>795</v>
      </c>
      <c r="R90" s="35">
        <v>519</v>
      </c>
      <c r="S90" s="43">
        <v>519</v>
      </c>
      <c r="T90" s="32">
        <f t="shared" si="16"/>
        <v>6528.971775</v>
      </c>
      <c r="U90" s="30" t="str">
        <f t="shared" si="17"/>
        <v>Cost-Effective</v>
      </c>
      <c r="V90" s="30" t="str">
        <f t="shared" si="18"/>
        <v>Cost-Effective</v>
      </c>
      <c r="W90" s="41">
        <f t="shared" si="19"/>
        <v>7.9491843108787222E-2</v>
      </c>
      <c r="X90" s="55">
        <f t="shared" si="20"/>
        <v>1.08</v>
      </c>
      <c r="Y90" s="30" t="str">
        <f t="shared" si="21"/>
        <v>Cost-Effective</v>
      </c>
      <c r="Z90" s="55">
        <f t="shared" si="22"/>
        <v>0.64</v>
      </c>
      <c r="AA90" s="30" t="str">
        <f t="shared" si="28"/>
        <v>Cost-Effective</v>
      </c>
      <c r="AB90" s="55">
        <f t="shared" si="23"/>
        <v>0.64868436103329219</v>
      </c>
      <c r="AC90" s="30" t="str">
        <f t="shared" si="24"/>
        <v>Cost-Effective</v>
      </c>
      <c r="AD90" s="55">
        <f t="shared" si="25"/>
        <v>0.16487209176159878</v>
      </c>
      <c r="AE90" s="30" t="str">
        <f t="shared" si="29"/>
        <v>Cost-Effective</v>
      </c>
      <c r="AF90" s="30" t="s">
        <v>210</v>
      </c>
      <c r="AG90" s="30" t="s">
        <v>174</v>
      </c>
    </row>
    <row r="91" spans="1:34" ht="12.75" customHeight="1">
      <c r="A91" s="40">
        <f t="shared" si="26"/>
        <v>27</v>
      </c>
      <c r="B91" s="40">
        <f t="shared" si="27"/>
        <v>1</v>
      </c>
      <c r="C91" s="51" t="str">
        <f t="shared" si="15"/>
        <v>2701</v>
      </c>
      <c r="D91" s="30" t="s">
        <v>389</v>
      </c>
      <c r="E91" s="33">
        <v>2017</v>
      </c>
      <c r="F91" s="30" t="s">
        <v>411</v>
      </c>
      <c r="G91" s="30" t="s">
        <v>412</v>
      </c>
      <c r="H91" s="44" t="s">
        <v>796</v>
      </c>
      <c r="I91" s="40" t="s">
        <v>348</v>
      </c>
      <c r="J91" s="40" t="s">
        <v>151</v>
      </c>
      <c r="K91" s="49" t="s">
        <v>392</v>
      </c>
      <c r="L91" s="40">
        <v>1</v>
      </c>
      <c r="M91" s="40" t="s">
        <v>157</v>
      </c>
      <c r="N91" s="30" t="s">
        <v>167</v>
      </c>
      <c r="O91" s="30" t="s">
        <v>699</v>
      </c>
      <c r="P91" s="40">
        <v>2013</v>
      </c>
      <c r="Q91" s="30" t="s">
        <v>797</v>
      </c>
      <c r="R91" s="35">
        <v>148</v>
      </c>
      <c r="S91" s="43">
        <v>148</v>
      </c>
      <c r="T91" s="32">
        <f t="shared" si="16"/>
        <v>1779.47036531513</v>
      </c>
      <c r="U91" s="30" t="str">
        <f t="shared" si="17"/>
        <v>Cost-Effective</v>
      </c>
      <c r="V91" s="30" t="str">
        <f t="shared" si="18"/>
        <v>Cost-Effective</v>
      </c>
      <c r="W91" s="41">
        <f t="shared" si="19"/>
        <v>8.3170814690016137E-2</v>
      </c>
      <c r="X91" s="55">
        <f t="shared" si="20"/>
        <v>0</v>
      </c>
      <c r="Y91" s="30" t="str">
        <f t="shared" si="21"/>
        <v>No Threshold</v>
      </c>
      <c r="Z91" s="55">
        <f t="shared" si="22"/>
        <v>0</v>
      </c>
      <c r="AA91" s="30" t="str">
        <f t="shared" si="28"/>
        <v>No Threshold</v>
      </c>
      <c r="AB91" s="55">
        <f t="shared" si="23"/>
        <v>0.34673238286310781</v>
      </c>
      <c r="AC91" s="30" t="str">
        <f t="shared" si="24"/>
        <v>Cost-Effective</v>
      </c>
      <c r="AD91" s="55">
        <f t="shared" si="25"/>
        <v>2.2478598564869227E-2</v>
      </c>
      <c r="AE91" s="30" t="str">
        <f t="shared" si="29"/>
        <v>Not Cost-Effective</v>
      </c>
      <c r="AF91" s="30" t="s">
        <v>210</v>
      </c>
      <c r="AG91" s="30" t="s">
        <v>174</v>
      </c>
    </row>
    <row r="92" spans="1:34" ht="12.75" customHeight="1">
      <c r="A92" s="40">
        <f t="shared" si="26"/>
        <v>27</v>
      </c>
      <c r="B92" s="40">
        <f t="shared" si="27"/>
        <v>2</v>
      </c>
      <c r="C92" s="51" t="str">
        <f t="shared" si="15"/>
        <v>2702</v>
      </c>
      <c r="D92" s="30" t="s">
        <v>389</v>
      </c>
      <c r="E92" s="33">
        <v>2017</v>
      </c>
      <c r="F92" s="30" t="s">
        <v>411</v>
      </c>
      <c r="G92" s="30" t="s">
        <v>412</v>
      </c>
      <c r="H92" s="44" t="s">
        <v>798</v>
      </c>
      <c r="I92" s="40" t="s">
        <v>348</v>
      </c>
      <c r="J92" s="40" t="s">
        <v>151</v>
      </c>
      <c r="K92" s="49" t="s">
        <v>383</v>
      </c>
      <c r="L92" s="40">
        <v>2</v>
      </c>
      <c r="M92" s="40" t="s">
        <v>799</v>
      </c>
      <c r="N92" s="30" t="s">
        <v>167</v>
      </c>
      <c r="O92" s="30" t="s">
        <v>699</v>
      </c>
      <c r="P92" s="40">
        <v>2013</v>
      </c>
      <c r="Q92" s="30" t="s">
        <v>800</v>
      </c>
      <c r="R92" s="35">
        <v>210</v>
      </c>
      <c r="S92" s="43">
        <v>210</v>
      </c>
      <c r="T92" s="32">
        <f t="shared" si="16"/>
        <v>1779.47036531513</v>
      </c>
      <c r="U92" s="30" t="str">
        <f t="shared" si="17"/>
        <v>Cost-Effective</v>
      </c>
      <c r="V92" s="30" t="str">
        <f t="shared" si="18"/>
        <v>Cost-Effective</v>
      </c>
      <c r="W92" s="41">
        <f t="shared" si="19"/>
        <v>0.11801264246556344</v>
      </c>
      <c r="X92" s="55">
        <f t="shared" si="20"/>
        <v>0</v>
      </c>
      <c r="Y92" s="30" t="str">
        <f t="shared" si="21"/>
        <v>No Threshold</v>
      </c>
      <c r="Z92" s="55">
        <f t="shared" si="22"/>
        <v>0</v>
      </c>
      <c r="AA92" s="30" t="str">
        <f t="shared" si="28"/>
        <v>No Threshold</v>
      </c>
      <c r="AB92" s="55">
        <f t="shared" si="23"/>
        <v>0.34673238286310781</v>
      </c>
      <c r="AC92" s="30" t="str">
        <f t="shared" si="24"/>
        <v>Cost-Effective</v>
      </c>
      <c r="AD92" s="55">
        <f t="shared" si="25"/>
        <v>2.2478598564869227E-2</v>
      </c>
      <c r="AE92" s="30" t="str">
        <f t="shared" si="29"/>
        <v>Not Cost-Effective</v>
      </c>
      <c r="AF92" s="30" t="s">
        <v>210</v>
      </c>
      <c r="AG92" s="30" t="s">
        <v>174</v>
      </c>
    </row>
    <row r="93" spans="1:34" ht="12.75" customHeight="1">
      <c r="A93" s="40">
        <f t="shared" si="26"/>
        <v>28</v>
      </c>
      <c r="B93" s="40">
        <f t="shared" si="27"/>
        <v>1</v>
      </c>
      <c r="C93" s="51" t="str">
        <f t="shared" si="15"/>
        <v>2801</v>
      </c>
      <c r="D93" s="30" t="s">
        <v>416</v>
      </c>
      <c r="E93" s="33">
        <v>2018</v>
      </c>
      <c r="F93" s="30" t="s">
        <v>417</v>
      </c>
      <c r="G93" s="30" t="s">
        <v>330</v>
      </c>
      <c r="H93" s="44" t="s">
        <v>801</v>
      </c>
      <c r="I93" s="40" t="s">
        <v>183</v>
      </c>
      <c r="J93" s="40" t="s">
        <v>151</v>
      </c>
      <c r="K93" s="49" t="s">
        <v>198</v>
      </c>
      <c r="L93" s="40">
        <v>4</v>
      </c>
      <c r="M93" s="40" t="s">
        <v>157</v>
      </c>
      <c r="N93" s="30" t="s">
        <v>167</v>
      </c>
      <c r="O93" s="30" t="s">
        <v>699</v>
      </c>
      <c r="P93" s="40">
        <v>2014</v>
      </c>
      <c r="Q93" s="30" t="s">
        <v>802</v>
      </c>
      <c r="R93" s="35">
        <v>27748</v>
      </c>
      <c r="S93" s="43">
        <v>27748</v>
      </c>
      <c r="T93" s="32">
        <f t="shared" si="16"/>
        <v>12112.83496</v>
      </c>
      <c r="U93" s="30" t="str">
        <f t="shared" si="17"/>
        <v>Not Cost-Effective</v>
      </c>
      <c r="V93" s="30" t="str">
        <f t="shared" si="18"/>
        <v>Cost-Effective</v>
      </c>
      <c r="W93" s="41">
        <f t="shared" si="19"/>
        <v>2.2907932033773868</v>
      </c>
      <c r="X93" s="55">
        <f t="shared" si="20"/>
        <v>1.0900000000000001</v>
      </c>
      <c r="Y93" s="30" t="str">
        <f t="shared" si="21"/>
        <v>Not Cost-Effective</v>
      </c>
      <c r="Z93" s="55">
        <f t="shared" si="22"/>
        <v>0.71</v>
      </c>
      <c r="AA93" s="30" t="str">
        <f t="shared" si="28"/>
        <v>Not Cost-Effective</v>
      </c>
      <c r="AB93" s="55">
        <f t="shared" si="23"/>
        <v>0.61331405073457201</v>
      </c>
      <c r="AC93" s="30" t="str">
        <f t="shared" si="24"/>
        <v>Not Cost-Effective</v>
      </c>
      <c r="AD93" s="55">
        <f t="shared" si="25"/>
        <v>0.19454672897770822</v>
      </c>
      <c r="AE93" s="30" t="str">
        <f t="shared" si="29"/>
        <v>Not Cost-Effective</v>
      </c>
      <c r="AF93" s="30" t="s">
        <v>173</v>
      </c>
      <c r="AG93" s="30" t="s">
        <v>174</v>
      </c>
      <c r="AH93" s="30" t="s">
        <v>803</v>
      </c>
    </row>
    <row r="94" spans="1:34" ht="12.75" customHeight="1">
      <c r="A94" s="40">
        <f t="shared" si="26"/>
        <v>29</v>
      </c>
      <c r="B94" s="40">
        <f t="shared" si="27"/>
        <v>1</v>
      </c>
      <c r="C94" s="51" t="str">
        <f t="shared" si="15"/>
        <v>2901</v>
      </c>
      <c r="D94" s="30" t="s">
        <v>419</v>
      </c>
      <c r="E94" s="33">
        <v>2018</v>
      </c>
      <c r="F94" s="30" t="s">
        <v>420</v>
      </c>
      <c r="G94" s="30" t="s">
        <v>421</v>
      </c>
      <c r="H94" s="44" t="s">
        <v>764</v>
      </c>
      <c r="I94" s="40" t="s">
        <v>183</v>
      </c>
      <c r="J94" s="40" t="s">
        <v>151</v>
      </c>
      <c r="K94" s="49" t="s">
        <v>152</v>
      </c>
      <c r="L94" s="40">
        <v>3</v>
      </c>
      <c r="M94" s="40" t="s">
        <v>157</v>
      </c>
      <c r="N94" s="30" t="s">
        <v>167</v>
      </c>
      <c r="O94" s="30" t="s">
        <v>422</v>
      </c>
      <c r="P94" s="40">
        <v>2008</v>
      </c>
      <c r="Q94" s="30" t="s">
        <v>424</v>
      </c>
      <c r="R94" s="35">
        <v>1417</v>
      </c>
      <c r="S94" s="43">
        <f>(R94*1057.875)/1967.711</f>
        <v>761.80337203989814</v>
      </c>
      <c r="T94" s="32">
        <f t="shared" si="16"/>
        <v>5472.5365300000003</v>
      </c>
      <c r="U94" s="30" t="str">
        <f t="shared" si="17"/>
        <v>Cost-Effective</v>
      </c>
      <c r="V94" s="30" t="str">
        <f t="shared" si="18"/>
        <v>Cost-Effective</v>
      </c>
      <c r="W94" s="41">
        <f t="shared" si="19"/>
        <v>0.13920480345151723</v>
      </c>
      <c r="X94" s="55">
        <f t="shared" si="20"/>
        <v>1.89</v>
      </c>
      <c r="Y94" s="30" t="str">
        <f t="shared" si="21"/>
        <v>Cost-Effective</v>
      </c>
      <c r="Z94" s="55">
        <f t="shared" si="22"/>
        <v>1.17</v>
      </c>
      <c r="AA94" s="30" t="str">
        <f t="shared" si="28"/>
        <v>Cost-Effective</v>
      </c>
      <c r="AB94" s="55">
        <f t="shared" si="23"/>
        <v>0.67142448878179284</v>
      </c>
      <c r="AC94" s="30" t="str">
        <f t="shared" si="24"/>
        <v>Cost-Effective</v>
      </c>
      <c r="AD94" s="55">
        <f t="shared" si="25"/>
        <v>0.16670017209696561</v>
      </c>
      <c r="AE94" s="30" t="str">
        <f t="shared" si="29"/>
        <v>Cost-Effective</v>
      </c>
      <c r="AF94" s="30" t="s">
        <v>210</v>
      </c>
      <c r="AG94" s="30" t="s">
        <v>174</v>
      </c>
      <c r="AH94" s="30" t="s">
        <v>804</v>
      </c>
    </row>
    <row r="95" spans="1:34" ht="12.75" customHeight="1">
      <c r="A95" s="40">
        <f t="shared" si="26"/>
        <v>29</v>
      </c>
      <c r="B95" s="40">
        <f t="shared" si="27"/>
        <v>2</v>
      </c>
      <c r="C95" s="51" t="str">
        <f t="shared" si="15"/>
        <v>2902</v>
      </c>
      <c r="D95" s="30" t="s">
        <v>419</v>
      </c>
      <c r="E95" s="33">
        <v>2018</v>
      </c>
      <c r="F95" s="30" t="s">
        <v>420</v>
      </c>
      <c r="G95" s="30" t="s">
        <v>421</v>
      </c>
      <c r="H95" s="44" t="s">
        <v>764</v>
      </c>
      <c r="I95" s="40" t="s">
        <v>183</v>
      </c>
      <c r="J95" s="40" t="s">
        <v>151</v>
      </c>
      <c r="K95" s="49" t="s">
        <v>152</v>
      </c>
      <c r="L95" s="40">
        <v>3</v>
      </c>
      <c r="M95" s="40" t="s">
        <v>157</v>
      </c>
      <c r="N95" s="30" t="s">
        <v>153</v>
      </c>
      <c r="O95" s="30" t="s">
        <v>422</v>
      </c>
      <c r="P95" s="40">
        <v>2008</v>
      </c>
      <c r="Q95" s="30" t="s">
        <v>425</v>
      </c>
      <c r="R95" s="35">
        <v>1301</v>
      </c>
      <c r="S95" s="43">
        <f>(R95*1057.875)/1967.711</f>
        <v>699.4397932419954</v>
      </c>
      <c r="T95" s="32">
        <f t="shared" si="16"/>
        <v>5472.5365300000003</v>
      </c>
      <c r="U95" s="30" t="str">
        <f t="shared" si="17"/>
        <v>Cost-Effective</v>
      </c>
      <c r="V95" s="30" t="str">
        <f t="shared" si="18"/>
        <v>Cost-Effective</v>
      </c>
      <c r="W95" s="41">
        <f t="shared" si="19"/>
        <v>0.12780906795372188</v>
      </c>
      <c r="X95" s="55">
        <f t="shared" si="20"/>
        <v>1.89</v>
      </c>
      <c r="Y95" s="30" t="str">
        <f t="shared" si="21"/>
        <v>Cost-Effective</v>
      </c>
      <c r="Z95" s="55">
        <f t="shared" si="22"/>
        <v>1.17</v>
      </c>
      <c r="AA95" s="30" t="str">
        <f t="shared" si="28"/>
        <v>Cost-Effective</v>
      </c>
      <c r="AB95" s="55">
        <f t="shared" si="23"/>
        <v>0.67142448878179284</v>
      </c>
      <c r="AC95" s="30" t="str">
        <f t="shared" si="24"/>
        <v>Cost-Effective</v>
      </c>
      <c r="AD95" s="55">
        <f t="shared" si="25"/>
        <v>0.16670017209696561</v>
      </c>
      <c r="AE95" s="30" t="str">
        <f t="shared" si="29"/>
        <v>Cost-Effective</v>
      </c>
      <c r="AF95" s="30" t="s">
        <v>210</v>
      </c>
      <c r="AG95" s="30" t="s">
        <v>174</v>
      </c>
    </row>
    <row r="96" spans="1:34" ht="12.75" customHeight="1">
      <c r="A96" s="40">
        <f t="shared" si="26"/>
        <v>30</v>
      </c>
      <c r="B96" s="40">
        <f t="shared" si="27"/>
        <v>1</v>
      </c>
      <c r="C96" s="51" t="str">
        <f t="shared" si="15"/>
        <v>3001</v>
      </c>
      <c r="D96" s="30" t="s">
        <v>426</v>
      </c>
      <c r="E96" s="33">
        <v>2019</v>
      </c>
      <c r="F96" s="30" t="s">
        <v>427</v>
      </c>
      <c r="G96" s="30" t="s">
        <v>428</v>
      </c>
      <c r="H96" s="44" t="s">
        <v>805</v>
      </c>
      <c r="I96" s="40" t="s">
        <v>183</v>
      </c>
      <c r="J96" s="40" t="s">
        <v>151</v>
      </c>
      <c r="K96" s="49" t="s">
        <v>331</v>
      </c>
      <c r="L96" s="40">
        <v>3</v>
      </c>
      <c r="M96" s="40" t="s">
        <v>157</v>
      </c>
      <c r="N96" s="30" t="s">
        <v>153</v>
      </c>
      <c r="O96" s="30" t="s">
        <v>699</v>
      </c>
      <c r="P96" s="40">
        <v>2013</v>
      </c>
      <c r="Q96" s="30" t="s">
        <v>806</v>
      </c>
      <c r="R96" s="35">
        <v>413.8</v>
      </c>
      <c r="S96" s="43">
        <v>413.8</v>
      </c>
      <c r="T96" s="32">
        <f t="shared" si="16"/>
        <v>499.531530164228</v>
      </c>
      <c r="U96" s="30" t="str">
        <f t="shared" si="17"/>
        <v>Cost-Effective</v>
      </c>
      <c r="V96" s="30" t="str">
        <f t="shared" si="18"/>
        <v>Cost-Effective</v>
      </c>
      <c r="W96" s="41">
        <f t="shared" si="19"/>
        <v>0.82837613846709024</v>
      </c>
      <c r="X96" s="55">
        <f t="shared" si="20"/>
        <v>0.36</v>
      </c>
      <c r="Y96" s="30" t="str">
        <f t="shared" si="21"/>
        <v>Not Cost-Effective</v>
      </c>
      <c r="Z96" s="55">
        <f t="shared" si="22"/>
        <v>0.27</v>
      </c>
      <c r="AA96" s="30" t="str">
        <f t="shared" si="28"/>
        <v>Not Cost-Effective</v>
      </c>
      <c r="AB96" s="55">
        <f t="shared" si="23"/>
        <v>0.51047828735888834</v>
      </c>
      <c r="AC96" s="30" t="str">
        <f t="shared" si="24"/>
        <v>Not Cost-Effective</v>
      </c>
      <c r="AD96" s="55">
        <f t="shared" si="25"/>
        <v>2.0018756367015229E-2</v>
      </c>
      <c r="AE96" s="30" t="str">
        <f t="shared" si="29"/>
        <v>Not Cost-Effective</v>
      </c>
      <c r="AF96" s="30" t="s">
        <v>173</v>
      </c>
      <c r="AG96" s="30" t="s">
        <v>174</v>
      </c>
    </row>
    <row r="97" spans="1:34" ht="12.75" customHeight="1">
      <c r="A97" s="40">
        <f t="shared" si="26"/>
        <v>30</v>
      </c>
      <c r="B97" s="40">
        <f t="shared" si="27"/>
        <v>2</v>
      </c>
      <c r="C97" s="51" t="str">
        <f t="shared" si="15"/>
        <v>3002</v>
      </c>
      <c r="D97" s="30" t="s">
        <v>426</v>
      </c>
      <c r="E97" s="33">
        <v>2019</v>
      </c>
      <c r="F97" s="30" t="s">
        <v>427</v>
      </c>
      <c r="G97" s="30" t="s">
        <v>428</v>
      </c>
      <c r="H97" s="44" t="s">
        <v>807</v>
      </c>
      <c r="I97" s="40" t="s">
        <v>183</v>
      </c>
      <c r="J97" s="40" t="s">
        <v>151</v>
      </c>
      <c r="K97" s="49" t="s">
        <v>331</v>
      </c>
      <c r="L97" s="40">
        <v>3</v>
      </c>
      <c r="M97" s="40" t="s">
        <v>157</v>
      </c>
      <c r="N97" s="30" t="s">
        <v>153</v>
      </c>
      <c r="O97" s="30" t="s">
        <v>699</v>
      </c>
      <c r="P97" s="40">
        <v>2013</v>
      </c>
      <c r="Q97" s="30" t="s">
        <v>808</v>
      </c>
      <c r="R97" s="35">
        <v>292.7</v>
      </c>
      <c r="S97" s="43">
        <v>292.7</v>
      </c>
      <c r="T97" s="32">
        <f t="shared" si="16"/>
        <v>499.531530164228</v>
      </c>
      <c r="U97" s="30" t="str">
        <f t="shared" si="17"/>
        <v>Cost-Effective</v>
      </c>
      <c r="V97" s="30" t="str">
        <f t="shared" si="18"/>
        <v>Cost-Effective</v>
      </c>
      <c r="W97" s="41">
        <f t="shared" si="19"/>
        <v>0.58594899886253582</v>
      </c>
      <c r="X97" s="55">
        <f t="shared" si="20"/>
        <v>0.36</v>
      </c>
      <c r="Y97" s="30" t="str">
        <f t="shared" si="21"/>
        <v>Not Cost-Effective</v>
      </c>
      <c r="Z97" s="55">
        <f t="shared" si="22"/>
        <v>0.27</v>
      </c>
      <c r="AA97" s="30" t="str">
        <f t="shared" si="28"/>
        <v>Not Cost-Effective</v>
      </c>
      <c r="AB97" s="55">
        <f t="shared" si="23"/>
        <v>0.51047828735888834</v>
      </c>
      <c r="AC97" s="30" t="str">
        <f t="shared" si="24"/>
        <v>Not Cost-Effective</v>
      </c>
      <c r="AD97" s="55">
        <f t="shared" si="25"/>
        <v>2.0018756367015229E-2</v>
      </c>
      <c r="AE97" s="30" t="str">
        <f t="shared" si="29"/>
        <v>Not Cost-Effective</v>
      </c>
      <c r="AF97" s="30" t="s">
        <v>173</v>
      </c>
      <c r="AG97" s="30" t="s">
        <v>174</v>
      </c>
    </row>
    <row r="98" spans="1:34" ht="12.75" customHeight="1">
      <c r="A98" s="40">
        <f t="shared" si="26"/>
        <v>31</v>
      </c>
      <c r="B98" s="40">
        <f t="shared" si="27"/>
        <v>1</v>
      </c>
      <c r="C98" s="51" t="str">
        <f t="shared" si="15"/>
        <v>3101</v>
      </c>
      <c r="D98" s="30" t="s">
        <v>435</v>
      </c>
      <c r="E98" s="33">
        <v>2019</v>
      </c>
      <c r="F98" s="30" t="s">
        <v>436</v>
      </c>
      <c r="G98" s="30" t="s">
        <v>382</v>
      </c>
      <c r="H98" s="44" t="s">
        <v>809</v>
      </c>
      <c r="I98" s="40" t="s">
        <v>183</v>
      </c>
      <c r="J98" s="77" t="s">
        <v>151</v>
      </c>
      <c r="K98" s="49" t="s">
        <v>437</v>
      </c>
      <c r="L98" s="40">
        <v>4</v>
      </c>
      <c r="M98" s="40" t="s">
        <v>157</v>
      </c>
      <c r="N98" s="30" t="s">
        <v>153</v>
      </c>
      <c r="O98" s="30" t="s">
        <v>699</v>
      </c>
      <c r="P98" s="40">
        <v>2016</v>
      </c>
      <c r="Q98" s="30" t="s">
        <v>810</v>
      </c>
      <c r="R98" s="35">
        <v>153</v>
      </c>
      <c r="S98" s="43">
        <v>153</v>
      </c>
      <c r="T98" s="32">
        <f t="shared" si="16"/>
        <v>1525.2351920000001</v>
      </c>
      <c r="U98" s="30" t="str">
        <f t="shared" si="17"/>
        <v>Cost-Effective</v>
      </c>
      <c r="V98" s="30" t="str">
        <f t="shared" si="18"/>
        <v>Cost-Effective</v>
      </c>
      <c r="W98" s="41">
        <f t="shared" si="19"/>
        <v>0.10031239824684034</v>
      </c>
      <c r="X98" s="55">
        <f t="shared" si="20"/>
        <v>0.47</v>
      </c>
      <c r="Y98" s="30" t="str">
        <f t="shared" si="21"/>
        <v>Cost-Effective</v>
      </c>
      <c r="Z98" s="55">
        <f t="shared" si="22"/>
        <v>0.36</v>
      </c>
      <c r="AA98" s="30" t="str">
        <f t="shared" si="28"/>
        <v>Cost-Effective</v>
      </c>
      <c r="AB98" s="55">
        <f t="shared" si="23"/>
        <v>0.38307648302682684</v>
      </c>
      <c r="AC98" s="30" t="str">
        <f t="shared" si="24"/>
        <v>Cost-Effective</v>
      </c>
      <c r="AD98" s="55">
        <f t="shared" si="25"/>
        <v>2.3619359261769671E-2</v>
      </c>
      <c r="AE98" s="30" t="str">
        <f t="shared" si="29"/>
        <v>Not Cost-Effective</v>
      </c>
      <c r="AF98" s="30" t="s">
        <v>210</v>
      </c>
      <c r="AG98" s="30" t="s">
        <v>174</v>
      </c>
    </row>
    <row r="99" spans="1:34" ht="12.75" customHeight="1">
      <c r="A99" s="40">
        <f t="shared" si="26"/>
        <v>32</v>
      </c>
      <c r="B99" s="40">
        <f t="shared" si="27"/>
        <v>1</v>
      </c>
      <c r="C99" s="51" t="str">
        <f t="shared" si="15"/>
        <v>3201</v>
      </c>
      <c r="D99" s="30" t="s">
        <v>441</v>
      </c>
      <c r="E99" s="33">
        <v>2019</v>
      </c>
      <c r="F99" s="30" t="s">
        <v>442</v>
      </c>
      <c r="G99" s="30" t="s">
        <v>443</v>
      </c>
      <c r="H99" s="44" t="s">
        <v>811</v>
      </c>
      <c r="I99" s="40" t="s">
        <v>186</v>
      </c>
      <c r="J99" s="40" t="s">
        <v>151</v>
      </c>
      <c r="K99" s="49" t="s">
        <v>331</v>
      </c>
      <c r="L99" s="40">
        <v>3</v>
      </c>
      <c r="M99" s="40" t="s">
        <v>157</v>
      </c>
      <c r="N99" s="30" t="s">
        <v>167</v>
      </c>
      <c r="O99" s="30" t="s">
        <v>699</v>
      </c>
      <c r="P99" s="40">
        <v>2014</v>
      </c>
      <c r="Q99" s="30" t="s">
        <v>812</v>
      </c>
      <c r="R99" s="35">
        <v>1890</v>
      </c>
      <c r="S99" s="43">
        <v>1890</v>
      </c>
      <c r="T99" s="32">
        <f t="shared" si="16"/>
        <v>5585.5256040000004</v>
      </c>
      <c r="U99" s="30" t="str">
        <f t="shared" si="17"/>
        <v>Cost-Effective</v>
      </c>
      <c r="V99" s="30" t="str">
        <f t="shared" si="18"/>
        <v>Cost-Effective</v>
      </c>
      <c r="W99" s="41">
        <f t="shared" si="19"/>
        <v>0.33837460142452869</v>
      </c>
      <c r="X99" s="55">
        <f t="shared" si="20"/>
        <v>0</v>
      </c>
      <c r="Y99" s="30" t="str">
        <f t="shared" si="21"/>
        <v>No Threshold</v>
      </c>
      <c r="Z99" s="55">
        <f t="shared" si="22"/>
        <v>0</v>
      </c>
      <c r="AA99" s="30" t="str">
        <f t="shared" si="28"/>
        <v>No Threshold</v>
      </c>
      <c r="AB99" s="55">
        <f t="shared" si="23"/>
        <v>0.52689097161017251</v>
      </c>
      <c r="AC99" s="30" t="str">
        <f t="shared" si="24"/>
        <v>Cost-Effective</v>
      </c>
      <c r="AD99" s="55">
        <f t="shared" si="25"/>
        <v>0.17513184612965055</v>
      </c>
      <c r="AE99" s="30" t="str">
        <f t="shared" si="29"/>
        <v>Not Cost-Effective</v>
      </c>
      <c r="AF99" s="30" t="s">
        <v>210</v>
      </c>
      <c r="AG99" s="30" t="s">
        <v>174</v>
      </c>
      <c r="AH99" s="30" t="s">
        <v>445</v>
      </c>
    </row>
    <row r="100" spans="1:34" ht="12.75" customHeight="1">
      <c r="A100" s="40">
        <f t="shared" si="26"/>
        <v>32</v>
      </c>
      <c r="B100" s="40">
        <f t="shared" si="27"/>
        <v>2</v>
      </c>
      <c r="C100" s="51" t="str">
        <f t="shared" si="15"/>
        <v>3202</v>
      </c>
      <c r="D100" s="30" t="s">
        <v>441</v>
      </c>
      <c r="E100" s="33">
        <v>2019</v>
      </c>
      <c r="F100" s="30" t="s">
        <v>442</v>
      </c>
      <c r="G100" s="30" t="s">
        <v>443</v>
      </c>
      <c r="H100" s="44" t="s">
        <v>811</v>
      </c>
      <c r="I100" s="40" t="s">
        <v>186</v>
      </c>
      <c r="J100" s="40" t="s">
        <v>151</v>
      </c>
      <c r="K100" s="49" t="s">
        <v>331</v>
      </c>
      <c r="L100" s="40">
        <v>3</v>
      </c>
      <c r="M100" s="40" t="s">
        <v>157</v>
      </c>
      <c r="N100" s="30" t="s">
        <v>153</v>
      </c>
      <c r="O100" s="30" t="s">
        <v>699</v>
      </c>
      <c r="P100" s="40">
        <v>2014</v>
      </c>
      <c r="Q100" s="30" t="s">
        <v>813</v>
      </c>
      <c r="R100" s="35">
        <v>1538</v>
      </c>
      <c r="S100" s="43">
        <v>1538</v>
      </c>
      <c r="T100" s="32">
        <f t="shared" si="16"/>
        <v>5585.5256040000004</v>
      </c>
      <c r="U100" s="30" t="str">
        <f t="shared" si="17"/>
        <v>Cost-Effective</v>
      </c>
      <c r="V100" s="30" t="str">
        <f t="shared" si="18"/>
        <v>Cost-Effective</v>
      </c>
      <c r="W100" s="41">
        <f t="shared" si="19"/>
        <v>0.27535456983646833</v>
      </c>
      <c r="X100" s="55">
        <f t="shared" si="20"/>
        <v>0</v>
      </c>
      <c r="Y100" s="30" t="str">
        <f t="shared" si="21"/>
        <v>No Threshold</v>
      </c>
      <c r="Z100" s="55">
        <f t="shared" si="22"/>
        <v>0</v>
      </c>
      <c r="AA100" s="30" t="str">
        <f t="shared" si="28"/>
        <v>No Threshold</v>
      </c>
      <c r="AB100" s="55">
        <f t="shared" si="23"/>
        <v>0.52689097161017251</v>
      </c>
      <c r="AC100" s="30" t="str">
        <f t="shared" si="24"/>
        <v>Cost-Effective</v>
      </c>
      <c r="AD100" s="55">
        <f t="shared" si="25"/>
        <v>0.17513184612965055</v>
      </c>
      <c r="AE100" s="30" t="str">
        <f t="shared" si="29"/>
        <v>Not Cost-Effective</v>
      </c>
      <c r="AF100" s="30" t="s">
        <v>210</v>
      </c>
      <c r="AG100" s="30" t="s">
        <v>174</v>
      </c>
      <c r="AH100" s="30" t="s">
        <v>445</v>
      </c>
    </row>
    <row r="101" spans="1:34" ht="12.75" customHeight="1">
      <c r="A101" s="40">
        <f t="shared" si="26"/>
        <v>33</v>
      </c>
      <c r="B101" s="40">
        <f t="shared" si="27"/>
        <v>1</v>
      </c>
      <c r="C101" s="51" t="str">
        <f t="shared" si="15"/>
        <v>3301</v>
      </c>
      <c r="D101" s="30" t="s">
        <v>447</v>
      </c>
      <c r="E101" s="33">
        <v>2020</v>
      </c>
      <c r="F101" s="30" t="s">
        <v>814</v>
      </c>
      <c r="G101" s="30" t="s">
        <v>449</v>
      </c>
      <c r="H101" s="44" t="s">
        <v>815</v>
      </c>
      <c r="I101" s="40" t="s">
        <v>150</v>
      </c>
      <c r="J101" s="40" t="s">
        <v>151</v>
      </c>
      <c r="K101" s="49" t="s">
        <v>331</v>
      </c>
      <c r="L101" s="40">
        <v>3</v>
      </c>
      <c r="M101" s="40" t="s">
        <v>157</v>
      </c>
      <c r="N101" s="30" t="s">
        <v>167</v>
      </c>
      <c r="O101" s="30" t="s">
        <v>816</v>
      </c>
      <c r="P101" s="40">
        <v>2016</v>
      </c>
      <c r="Q101" s="30" t="s">
        <v>452</v>
      </c>
      <c r="R101" s="35">
        <v>374</v>
      </c>
      <c r="S101" s="43">
        <f>R101/24</f>
        <v>15.583333333333334</v>
      </c>
      <c r="T101" s="32">
        <f t="shared" si="16"/>
        <v>8060.7965979999999</v>
      </c>
      <c r="U101" s="30" t="str">
        <f t="shared" si="17"/>
        <v>Cost-Effective</v>
      </c>
      <c r="V101" s="30" t="str">
        <f t="shared" si="18"/>
        <v>Cost-Effective</v>
      </c>
      <c r="W101" s="41">
        <f t="shared" si="19"/>
        <v>1.9332249789307157E-3</v>
      </c>
      <c r="X101" s="55">
        <f t="shared" si="20"/>
        <v>0</v>
      </c>
      <c r="Y101" s="30" t="str">
        <f t="shared" si="21"/>
        <v>No Threshold</v>
      </c>
      <c r="Z101" s="55">
        <f t="shared" si="22"/>
        <v>0</v>
      </c>
      <c r="AA101" s="30" t="str">
        <f t="shared" si="28"/>
        <v>No Threshold</v>
      </c>
      <c r="AB101" s="55">
        <f t="shared" si="23"/>
        <v>0</v>
      </c>
      <c r="AC101" s="30" t="str">
        <f t="shared" si="24"/>
        <v>No Threshold</v>
      </c>
      <c r="AD101" s="55">
        <f t="shared" si="25"/>
        <v>0</v>
      </c>
      <c r="AE101" s="30" t="str">
        <f t="shared" si="29"/>
        <v>No Threshold</v>
      </c>
      <c r="AF101" s="30" t="s">
        <v>210</v>
      </c>
      <c r="AG101" s="30" t="s">
        <v>174</v>
      </c>
    </row>
    <row r="102" spans="1:34" ht="12.75" customHeight="1">
      <c r="A102" s="40">
        <f t="shared" si="26"/>
        <v>34</v>
      </c>
      <c r="B102" s="40">
        <f t="shared" si="27"/>
        <v>1</v>
      </c>
      <c r="C102" s="51" t="str">
        <f t="shared" si="15"/>
        <v>3401</v>
      </c>
      <c r="D102" s="30" t="s">
        <v>453</v>
      </c>
      <c r="E102" s="33">
        <v>2012</v>
      </c>
      <c r="F102" s="30" t="s">
        <v>454</v>
      </c>
      <c r="G102" s="30" t="s">
        <v>455</v>
      </c>
      <c r="H102" s="44" t="s">
        <v>817</v>
      </c>
      <c r="I102" s="40" t="s">
        <v>186</v>
      </c>
      <c r="J102" s="40" t="s">
        <v>150</v>
      </c>
      <c r="K102" s="49" t="s">
        <v>198</v>
      </c>
      <c r="L102" s="40">
        <v>4</v>
      </c>
      <c r="M102" s="40" t="s">
        <v>157</v>
      </c>
      <c r="N102" s="30" t="s">
        <v>167</v>
      </c>
      <c r="O102" s="30" t="s">
        <v>699</v>
      </c>
      <c r="P102" s="40">
        <v>2000</v>
      </c>
      <c r="Q102" s="30" t="s">
        <v>818</v>
      </c>
      <c r="R102" s="35">
        <v>-2223</v>
      </c>
      <c r="S102" s="43">
        <v>-2223</v>
      </c>
      <c r="T102" s="32">
        <f t="shared" si="16"/>
        <v>4337.4780030000002</v>
      </c>
      <c r="U102" s="30" t="str">
        <f t="shared" si="17"/>
        <v>Cost-Effective</v>
      </c>
      <c r="V102" s="30" t="str">
        <f t="shared" si="18"/>
        <v>Cost-Effective</v>
      </c>
      <c r="W102" s="41">
        <f t="shared" si="19"/>
        <v>-0.51250980372983346</v>
      </c>
      <c r="X102" s="55">
        <f t="shared" si="20"/>
        <v>1.43</v>
      </c>
      <c r="Y102" s="30" t="str">
        <f t="shared" si="21"/>
        <v>Cost-Effective</v>
      </c>
      <c r="Z102" s="55">
        <f t="shared" si="22"/>
        <v>0.82</v>
      </c>
      <c r="AA102" s="30" t="str">
        <f t="shared" si="28"/>
        <v>Cost-Effective</v>
      </c>
      <c r="AB102" s="55">
        <f t="shared" si="23"/>
        <v>0.54388575340378054</v>
      </c>
      <c r="AC102" s="30" t="str">
        <f t="shared" si="24"/>
        <v>Cost-Effective</v>
      </c>
      <c r="AD102" s="55">
        <f t="shared" si="25"/>
        <v>0.2338526413848058</v>
      </c>
      <c r="AE102" s="30" t="str">
        <f t="shared" si="29"/>
        <v>Cost-Effective</v>
      </c>
      <c r="AF102" s="30" t="s">
        <v>819</v>
      </c>
      <c r="AG102" s="30" t="s">
        <v>239</v>
      </c>
    </row>
    <row r="103" spans="1:34" s="64" customFormat="1" ht="12.75" customHeight="1">
      <c r="A103" s="63">
        <f t="shared" si="26"/>
        <v>34</v>
      </c>
      <c r="B103" s="63">
        <f t="shared" si="27"/>
        <v>2</v>
      </c>
      <c r="C103" s="71" t="str">
        <f t="shared" si="15"/>
        <v>3402</v>
      </c>
      <c r="D103" s="64" t="s">
        <v>453</v>
      </c>
      <c r="E103" s="72">
        <v>2012</v>
      </c>
      <c r="F103" s="64" t="s">
        <v>454</v>
      </c>
      <c r="G103" s="64" t="s">
        <v>455</v>
      </c>
      <c r="H103" s="64" t="s">
        <v>820</v>
      </c>
      <c r="I103" s="63" t="s">
        <v>186</v>
      </c>
      <c r="J103" s="63" t="s">
        <v>183</v>
      </c>
      <c r="K103" s="65" t="s">
        <v>198</v>
      </c>
      <c r="L103" s="63">
        <v>4</v>
      </c>
      <c r="M103" s="63" t="s">
        <v>157</v>
      </c>
      <c r="N103" s="73" t="s">
        <v>167</v>
      </c>
      <c r="O103" s="64" t="s">
        <v>699</v>
      </c>
      <c r="P103" s="72">
        <v>2000</v>
      </c>
      <c r="Q103" s="64" t="s">
        <v>821</v>
      </c>
      <c r="R103" s="66">
        <v>933</v>
      </c>
      <c r="S103" s="74">
        <f>R103</f>
        <v>933</v>
      </c>
      <c r="T103" s="74">
        <f t="shared" si="16"/>
        <v>4337.4780030000002</v>
      </c>
      <c r="U103" s="64" t="str">
        <f t="shared" si="17"/>
        <v>Cost-Effective</v>
      </c>
      <c r="V103" s="64" t="str">
        <f t="shared" si="18"/>
        <v>Cost-Effective</v>
      </c>
      <c r="W103" s="75">
        <f t="shared" si="19"/>
        <v>0.21510195541157651</v>
      </c>
      <c r="X103" s="76">
        <f t="shared" si="20"/>
        <v>1.43</v>
      </c>
      <c r="Y103" s="64" t="str">
        <f t="shared" si="21"/>
        <v>Cost-Effective</v>
      </c>
      <c r="Z103" s="76">
        <f t="shared" si="22"/>
        <v>0.82</v>
      </c>
      <c r="AA103" s="64" t="str">
        <f t="shared" si="28"/>
        <v>Cost-Effective</v>
      </c>
      <c r="AB103" s="76">
        <f t="shared" si="23"/>
        <v>0.54388575340378054</v>
      </c>
      <c r="AC103" s="64" t="str">
        <f t="shared" si="24"/>
        <v>Cost-Effective</v>
      </c>
      <c r="AD103" s="76">
        <f t="shared" si="25"/>
        <v>0.2338526413848058</v>
      </c>
      <c r="AE103" s="64" t="str">
        <f t="shared" si="29"/>
        <v>Cost-Effective</v>
      </c>
      <c r="AF103" s="64" t="s">
        <v>819</v>
      </c>
      <c r="AG103" s="64" t="s">
        <v>822</v>
      </c>
      <c r="AH103" s="64" t="s">
        <v>721</v>
      </c>
    </row>
    <row r="104" spans="1:34" ht="12.75" customHeight="1">
      <c r="A104" s="40">
        <f t="shared" si="26"/>
        <v>34</v>
      </c>
      <c r="B104" s="40">
        <f t="shared" si="27"/>
        <v>3</v>
      </c>
      <c r="C104" s="51" t="str">
        <f t="shared" si="15"/>
        <v>3403</v>
      </c>
      <c r="D104" s="30" t="s">
        <v>453</v>
      </c>
      <c r="E104" s="33">
        <v>2012</v>
      </c>
      <c r="F104" s="30" t="s">
        <v>454</v>
      </c>
      <c r="G104" s="30" t="s">
        <v>455</v>
      </c>
      <c r="H104" s="44" t="s">
        <v>823</v>
      </c>
      <c r="I104" s="40" t="s">
        <v>183</v>
      </c>
      <c r="J104" s="40" t="s">
        <v>150</v>
      </c>
      <c r="K104" s="49" t="s">
        <v>198</v>
      </c>
      <c r="L104" s="40">
        <v>4</v>
      </c>
      <c r="M104" s="40" t="s">
        <v>157</v>
      </c>
      <c r="N104" s="30" t="s">
        <v>167</v>
      </c>
      <c r="O104" s="30" t="s">
        <v>699</v>
      </c>
      <c r="P104" s="40">
        <v>2000</v>
      </c>
      <c r="Q104" s="30" t="s">
        <v>824</v>
      </c>
      <c r="R104" s="35">
        <v>-3156</v>
      </c>
      <c r="S104" s="43">
        <v>-3156</v>
      </c>
      <c r="T104" s="32">
        <f t="shared" si="16"/>
        <v>4337.4780030000002</v>
      </c>
      <c r="U104" s="30" t="str">
        <f t="shared" si="17"/>
        <v>Cost-Effective</v>
      </c>
      <c r="V104" s="30" t="str">
        <f t="shared" si="18"/>
        <v>Cost-Effective</v>
      </c>
      <c r="W104" s="41">
        <f t="shared" si="19"/>
        <v>-0.72761175914140996</v>
      </c>
      <c r="X104" s="55">
        <f t="shared" si="20"/>
        <v>1.43</v>
      </c>
      <c r="Y104" s="30" t="str">
        <f t="shared" si="21"/>
        <v>Cost-Effective</v>
      </c>
      <c r="Z104" s="55">
        <f t="shared" si="22"/>
        <v>0.82</v>
      </c>
      <c r="AA104" s="30" t="str">
        <f t="shared" si="28"/>
        <v>Cost-Effective</v>
      </c>
      <c r="AB104" s="55">
        <f t="shared" si="23"/>
        <v>0.54388575340378054</v>
      </c>
      <c r="AC104" s="30" t="str">
        <f t="shared" si="24"/>
        <v>Cost-Effective</v>
      </c>
      <c r="AD104" s="55">
        <f t="shared" si="25"/>
        <v>0.2338526413848058</v>
      </c>
      <c r="AE104" s="30" t="str">
        <f t="shared" si="29"/>
        <v>Cost-Effective</v>
      </c>
      <c r="AF104" s="30" t="s">
        <v>819</v>
      </c>
      <c r="AG104" s="30" t="s">
        <v>239</v>
      </c>
    </row>
    <row r="105" spans="1:34" ht="12.75" customHeight="1">
      <c r="A105" s="40">
        <f t="shared" si="26"/>
        <v>35</v>
      </c>
      <c r="B105" s="40">
        <f t="shared" si="27"/>
        <v>1</v>
      </c>
      <c r="C105" s="51" t="str">
        <f t="shared" si="15"/>
        <v>3501</v>
      </c>
      <c r="D105" s="30" t="s">
        <v>464</v>
      </c>
      <c r="E105" s="33">
        <v>2012</v>
      </c>
      <c r="F105" s="30" t="s">
        <v>465</v>
      </c>
      <c r="G105" s="30" t="s">
        <v>421</v>
      </c>
      <c r="H105" s="44" t="s">
        <v>825</v>
      </c>
      <c r="I105" s="40" t="s">
        <v>150</v>
      </c>
      <c r="J105" s="40" t="s">
        <v>151</v>
      </c>
      <c r="K105" s="49" t="s">
        <v>152</v>
      </c>
      <c r="L105" s="40">
        <v>3</v>
      </c>
      <c r="M105" s="40" t="s">
        <v>157</v>
      </c>
      <c r="N105" s="30" t="s">
        <v>153</v>
      </c>
      <c r="O105" s="30" t="s">
        <v>699</v>
      </c>
      <c r="P105" s="40">
        <v>2009</v>
      </c>
      <c r="Q105" s="30" t="s">
        <v>468</v>
      </c>
      <c r="R105" s="31">
        <f>(154412093-124412317)/(44911-35908)</f>
        <v>3332.19771187382</v>
      </c>
      <c r="S105" s="43">
        <f>R105</f>
        <v>3332.19771187382</v>
      </c>
      <c r="T105" s="32">
        <f t="shared" si="16"/>
        <v>5193.2414580000004</v>
      </c>
      <c r="U105" s="30" t="str">
        <f t="shared" si="17"/>
        <v>Cost-Effective</v>
      </c>
      <c r="V105" s="30" t="str">
        <f t="shared" si="18"/>
        <v>Cost-Effective</v>
      </c>
      <c r="W105" s="41">
        <f t="shared" si="19"/>
        <v>0.64164120594483243</v>
      </c>
      <c r="X105" s="55">
        <f t="shared" si="20"/>
        <v>1.89</v>
      </c>
      <c r="Y105" s="30" t="str">
        <f t="shared" si="21"/>
        <v>Cost-Effective</v>
      </c>
      <c r="Z105" s="55">
        <f t="shared" si="22"/>
        <v>1.17</v>
      </c>
      <c r="AA105" s="30" t="str">
        <f t="shared" si="28"/>
        <v>Cost-Effective</v>
      </c>
      <c r="AB105" s="55">
        <f t="shared" si="23"/>
        <v>0.67142448878179284</v>
      </c>
      <c r="AC105" s="30" t="str">
        <f t="shared" si="24"/>
        <v>Cost-Effective</v>
      </c>
      <c r="AD105" s="55">
        <f t="shared" si="25"/>
        <v>0.16670017209696561</v>
      </c>
      <c r="AE105" s="30" t="str">
        <f t="shared" si="29"/>
        <v>Not Cost-Effective</v>
      </c>
      <c r="AF105" s="30" t="s">
        <v>210</v>
      </c>
      <c r="AG105" s="30" t="s">
        <v>174</v>
      </c>
      <c r="AH105" s="30" t="s">
        <v>826</v>
      </c>
    </row>
    <row r="106" spans="1:34" ht="12.75" customHeight="1">
      <c r="A106" s="40">
        <f t="shared" si="26"/>
        <v>35</v>
      </c>
      <c r="B106" s="40">
        <f t="shared" si="27"/>
        <v>2</v>
      </c>
      <c r="C106" s="51" t="str">
        <f t="shared" si="15"/>
        <v>3502</v>
      </c>
      <c r="D106" s="30" t="s">
        <v>464</v>
      </c>
      <c r="E106" s="33">
        <v>2012</v>
      </c>
      <c r="F106" s="30" t="s">
        <v>465</v>
      </c>
      <c r="G106" s="30" t="s">
        <v>421</v>
      </c>
      <c r="H106" s="44" t="s">
        <v>825</v>
      </c>
      <c r="I106" s="40" t="s">
        <v>183</v>
      </c>
      <c r="J106" s="40" t="s">
        <v>151</v>
      </c>
      <c r="K106" s="49" t="s">
        <v>152</v>
      </c>
      <c r="L106" s="40">
        <v>3</v>
      </c>
      <c r="M106" s="40" t="s">
        <v>157</v>
      </c>
      <c r="N106" s="30" t="s">
        <v>153</v>
      </c>
      <c r="O106" s="30" t="s">
        <v>699</v>
      </c>
      <c r="P106" s="40">
        <v>2009</v>
      </c>
      <c r="Q106" s="30" t="s">
        <v>471</v>
      </c>
      <c r="R106" s="31">
        <f>19441588/10581</f>
        <v>1837.4055382289009</v>
      </c>
      <c r="S106" s="43">
        <f>R106</f>
        <v>1837.4055382289009</v>
      </c>
      <c r="T106" s="32">
        <f t="shared" si="16"/>
        <v>5193.2414580000004</v>
      </c>
      <c r="U106" s="30" t="str">
        <f t="shared" si="17"/>
        <v>Cost-Effective</v>
      </c>
      <c r="V106" s="30" t="str">
        <f t="shared" si="18"/>
        <v>Cost-Effective</v>
      </c>
      <c r="W106" s="41">
        <f t="shared" si="19"/>
        <v>0.35380706887765523</v>
      </c>
      <c r="X106" s="55">
        <f t="shared" si="20"/>
        <v>1.89</v>
      </c>
      <c r="Y106" s="30" t="str">
        <f t="shared" si="21"/>
        <v>Cost-Effective</v>
      </c>
      <c r="Z106" s="55">
        <f t="shared" si="22"/>
        <v>1.17</v>
      </c>
      <c r="AA106" s="30" t="str">
        <f t="shared" si="28"/>
        <v>Cost-Effective</v>
      </c>
      <c r="AB106" s="55">
        <f t="shared" si="23"/>
        <v>0.67142448878179284</v>
      </c>
      <c r="AC106" s="30" t="str">
        <f t="shared" si="24"/>
        <v>Cost-Effective</v>
      </c>
      <c r="AD106" s="55">
        <f t="shared" si="25"/>
        <v>0.16670017209696561</v>
      </c>
      <c r="AE106" s="30" t="str">
        <f t="shared" si="29"/>
        <v>Not Cost-Effective</v>
      </c>
      <c r="AF106" s="30" t="s">
        <v>210</v>
      </c>
      <c r="AG106" s="30" t="s">
        <v>174</v>
      </c>
    </row>
    <row r="107" spans="1:34" ht="12.75" customHeight="1">
      <c r="A107" s="40">
        <f t="shared" si="26"/>
        <v>35</v>
      </c>
      <c r="B107" s="40">
        <f t="shared" si="27"/>
        <v>3</v>
      </c>
      <c r="C107" s="51" t="str">
        <f t="shared" si="15"/>
        <v>3503</v>
      </c>
      <c r="D107" s="30" t="s">
        <v>464</v>
      </c>
      <c r="E107" s="33">
        <v>2012</v>
      </c>
      <c r="F107" s="30" t="s">
        <v>465</v>
      </c>
      <c r="G107" s="30" t="s">
        <v>421</v>
      </c>
      <c r="H107" s="44" t="s">
        <v>825</v>
      </c>
      <c r="I107" s="40" t="s">
        <v>186</v>
      </c>
      <c r="J107" s="40" t="s">
        <v>183</v>
      </c>
      <c r="K107" s="49" t="s">
        <v>152</v>
      </c>
      <c r="L107" s="40">
        <v>3</v>
      </c>
      <c r="M107" s="40" t="s">
        <v>157</v>
      </c>
      <c r="N107" s="30" t="s">
        <v>153</v>
      </c>
      <c r="O107" s="30" t="s">
        <v>699</v>
      </c>
      <c r="P107" s="40">
        <v>2009</v>
      </c>
      <c r="Q107" s="30" t="s">
        <v>827</v>
      </c>
      <c r="R107" s="35">
        <v>9516</v>
      </c>
      <c r="S107" s="43">
        <v>9516</v>
      </c>
      <c r="T107" s="32">
        <f t="shared" si="16"/>
        <v>5193.2414580000004</v>
      </c>
      <c r="U107" s="30" t="str">
        <f t="shared" si="17"/>
        <v>Not Cost-Effective</v>
      </c>
      <c r="V107" s="30" t="str">
        <f t="shared" si="18"/>
        <v>Cost-Effective</v>
      </c>
      <c r="W107" s="41">
        <f t="shared" si="19"/>
        <v>1.8323815822853657</v>
      </c>
      <c r="X107" s="55">
        <f t="shared" si="20"/>
        <v>1.89</v>
      </c>
      <c r="Y107" s="30" t="str">
        <f t="shared" si="21"/>
        <v>Cost-Effective</v>
      </c>
      <c r="Z107" s="55">
        <f t="shared" si="22"/>
        <v>1.17</v>
      </c>
      <c r="AA107" s="30" t="str">
        <f t="shared" si="28"/>
        <v>Not Cost-Effective</v>
      </c>
      <c r="AB107" s="55">
        <f t="shared" si="23"/>
        <v>0.67142448878179284</v>
      </c>
      <c r="AC107" s="30" t="str">
        <f t="shared" si="24"/>
        <v>Not Cost-Effective</v>
      </c>
      <c r="AD107" s="55">
        <f t="shared" si="25"/>
        <v>0.16670017209696561</v>
      </c>
      <c r="AE107" s="30" t="str">
        <f t="shared" si="29"/>
        <v>Not Cost-Effective</v>
      </c>
      <c r="AF107" s="30" t="s">
        <v>210</v>
      </c>
      <c r="AG107" s="30" t="s">
        <v>174</v>
      </c>
    </row>
    <row r="108" spans="1:34" ht="12.75" customHeight="1">
      <c r="A108" s="40">
        <f t="shared" si="26"/>
        <v>36</v>
      </c>
      <c r="B108" s="40">
        <f t="shared" si="27"/>
        <v>1</v>
      </c>
      <c r="C108" s="51" t="str">
        <f t="shared" si="15"/>
        <v>3601</v>
      </c>
      <c r="D108" s="30" t="s">
        <v>27</v>
      </c>
      <c r="E108" s="33">
        <v>2013</v>
      </c>
      <c r="F108" s="30" t="s">
        <v>473</v>
      </c>
      <c r="G108" s="30" t="s">
        <v>404</v>
      </c>
      <c r="H108" s="44" t="s">
        <v>828</v>
      </c>
      <c r="I108" s="40" t="s">
        <v>150</v>
      </c>
      <c r="J108" s="40" t="s">
        <v>151</v>
      </c>
      <c r="K108" s="49" t="s">
        <v>331</v>
      </c>
      <c r="L108" s="40">
        <v>3</v>
      </c>
      <c r="M108" s="40" t="s">
        <v>157</v>
      </c>
      <c r="N108" s="30" t="s">
        <v>167</v>
      </c>
      <c r="O108" s="30" t="s">
        <v>699</v>
      </c>
      <c r="P108" s="40">
        <v>2009</v>
      </c>
      <c r="Q108" s="30" t="s">
        <v>829</v>
      </c>
      <c r="R108" s="35">
        <v>6014</v>
      </c>
      <c r="S108" s="43">
        <v>6014</v>
      </c>
      <c r="T108" s="32">
        <f t="shared" si="16"/>
        <v>4196.311627</v>
      </c>
      <c r="U108" s="30" t="str">
        <f t="shared" si="17"/>
        <v>Not Cost-Effective</v>
      </c>
      <c r="V108" s="30" t="str">
        <f t="shared" si="18"/>
        <v>Cost-Effective</v>
      </c>
      <c r="W108" s="41">
        <f t="shared" si="19"/>
        <v>1.4331633430902961</v>
      </c>
      <c r="X108" s="55">
        <f t="shared" si="20"/>
        <v>1.08</v>
      </c>
      <c r="Y108" s="30" t="str">
        <f t="shared" si="21"/>
        <v>Not Cost-Effective</v>
      </c>
      <c r="Z108" s="55">
        <f t="shared" si="22"/>
        <v>0.64</v>
      </c>
      <c r="AA108" s="30" t="str">
        <f t="shared" si="28"/>
        <v>Not Cost-Effective</v>
      </c>
      <c r="AB108" s="55">
        <f t="shared" si="23"/>
        <v>0.64868436103329219</v>
      </c>
      <c r="AC108" s="30" t="str">
        <f t="shared" si="24"/>
        <v>Not Cost-Effective</v>
      </c>
      <c r="AD108" s="55">
        <f t="shared" si="25"/>
        <v>0.16487209176159878</v>
      </c>
      <c r="AE108" s="30" t="str">
        <f t="shared" si="29"/>
        <v>Not Cost-Effective</v>
      </c>
      <c r="AF108" s="30" t="s">
        <v>173</v>
      </c>
      <c r="AG108" s="30" t="s">
        <v>174</v>
      </c>
    </row>
    <row r="109" spans="1:34" ht="12.75" customHeight="1">
      <c r="A109" s="40">
        <f t="shared" si="26"/>
        <v>36</v>
      </c>
      <c r="B109" s="40">
        <f t="shared" si="27"/>
        <v>2</v>
      </c>
      <c r="C109" s="51" t="str">
        <f t="shared" si="15"/>
        <v>3602</v>
      </c>
      <c r="D109" s="30" t="s">
        <v>27</v>
      </c>
      <c r="E109" s="33">
        <v>2013</v>
      </c>
      <c r="F109" s="30" t="s">
        <v>473</v>
      </c>
      <c r="G109" s="30" t="s">
        <v>404</v>
      </c>
      <c r="H109" s="44" t="s">
        <v>830</v>
      </c>
      <c r="I109" s="40" t="s">
        <v>186</v>
      </c>
      <c r="J109" s="40" t="s">
        <v>151</v>
      </c>
      <c r="K109" s="49" t="s">
        <v>331</v>
      </c>
      <c r="L109" s="40">
        <v>3</v>
      </c>
      <c r="M109" s="40" t="s">
        <v>157</v>
      </c>
      <c r="N109" s="30" t="s">
        <v>167</v>
      </c>
      <c r="O109" s="30" t="s">
        <v>699</v>
      </c>
      <c r="P109" s="40">
        <v>2009</v>
      </c>
      <c r="Q109" s="30" t="s">
        <v>831</v>
      </c>
      <c r="R109" s="35">
        <v>5327</v>
      </c>
      <c r="S109" s="43">
        <v>5327</v>
      </c>
      <c r="T109" s="32">
        <f t="shared" si="16"/>
        <v>4196.311627</v>
      </c>
      <c r="U109" s="30" t="str">
        <f t="shared" si="17"/>
        <v>Not Cost-Effective</v>
      </c>
      <c r="V109" s="30" t="str">
        <f t="shared" si="18"/>
        <v>Cost-Effective</v>
      </c>
      <c r="W109" s="41">
        <f t="shared" si="19"/>
        <v>1.2694481424413049</v>
      </c>
      <c r="X109" s="55">
        <f t="shared" si="20"/>
        <v>1.08</v>
      </c>
      <c r="Y109" s="30" t="str">
        <f t="shared" si="21"/>
        <v>Not Cost-Effective</v>
      </c>
      <c r="Z109" s="55">
        <f t="shared" si="22"/>
        <v>0.64</v>
      </c>
      <c r="AA109" s="30" t="str">
        <f t="shared" si="28"/>
        <v>Not Cost-Effective</v>
      </c>
      <c r="AB109" s="55">
        <f t="shared" si="23"/>
        <v>0.64868436103329219</v>
      </c>
      <c r="AC109" s="30" t="str">
        <f t="shared" si="24"/>
        <v>Not Cost-Effective</v>
      </c>
      <c r="AD109" s="55">
        <f t="shared" si="25"/>
        <v>0.16487209176159878</v>
      </c>
      <c r="AE109" s="30" t="str">
        <f t="shared" si="29"/>
        <v>Not Cost-Effective</v>
      </c>
      <c r="AF109" s="30" t="s">
        <v>173</v>
      </c>
      <c r="AG109" s="30" t="s">
        <v>174</v>
      </c>
    </row>
    <row r="110" spans="1:34" ht="12.75" customHeight="1">
      <c r="A110" s="40">
        <f t="shared" si="26"/>
        <v>36</v>
      </c>
      <c r="B110" s="40">
        <f t="shared" si="27"/>
        <v>3</v>
      </c>
      <c r="C110" s="51" t="str">
        <f t="shared" si="15"/>
        <v>3603</v>
      </c>
      <c r="D110" s="30" t="s">
        <v>27</v>
      </c>
      <c r="E110" s="33">
        <v>2013</v>
      </c>
      <c r="F110" s="30" t="s">
        <v>473</v>
      </c>
      <c r="G110" s="30" t="s">
        <v>404</v>
      </c>
      <c r="H110" s="44" t="s">
        <v>832</v>
      </c>
      <c r="I110" s="40" t="s">
        <v>183</v>
      </c>
      <c r="J110" s="40" t="s">
        <v>151</v>
      </c>
      <c r="K110" s="49" t="s">
        <v>331</v>
      </c>
      <c r="L110" s="40">
        <v>3</v>
      </c>
      <c r="M110" s="40" t="s">
        <v>157</v>
      </c>
      <c r="N110" s="30" t="s">
        <v>167</v>
      </c>
      <c r="O110" s="30" t="s">
        <v>699</v>
      </c>
      <c r="P110" s="40">
        <v>2009</v>
      </c>
      <c r="Q110" s="30" t="s">
        <v>833</v>
      </c>
      <c r="R110" s="35">
        <v>4500</v>
      </c>
      <c r="S110" s="43">
        <v>4500</v>
      </c>
      <c r="T110" s="32">
        <f t="shared" si="16"/>
        <v>4196.311627</v>
      </c>
      <c r="U110" s="30" t="str">
        <f t="shared" si="17"/>
        <v>Not Cost-Effective</v>
      </c>
      <c r="V110" s="30" t="str">
        <f t="shared" si="18"/>
        <v>Cost-Effective</v>
      </c>
      <c r="W110" s="41">
        <f t="shared" si="19"/>
        <v>1.0723703099278903</v>
      </c>
      <c r="X110" s="55">
        <f t="shared" si="20"/>
        <v>1.08</v>
      </c>
      <c r="Y110" s="30" t="str">
        <f t="shared" si="21"/>
        <v>Cost-Effective</v>
      </c>
      <c r="Z110" s="55">
        <f t="shared" si="22"/>
        <v>0.64</v>
      </c>
      <c r="AA110" s="30" t="str">
        <f t="shared" si="28"/>
        <v>Not Cost-Effective</v>
      </c>
      <c r="AB110" s="55">
        <f t="shared" si="23"/>
        <v>0.64868436103329219</v>
      </c>
      <c r="AC110" s="30" t="str">
        <f t="shared" si="24"/>
        <v>Not Cost-Effective</v>
      </c>
      <c r="AD110" s="55">
        <f t="shared" si="25"/>
        <v>0.16487209176159878</v>
      </c>
      <c r="AE110" s="30" t="str">
        <f t="shared" si="29"/>
        <v>Not Cost-Effective</v>
      </c>
      <c r="AF110" s="30" t="s">
        <v>173</v>
      </c>
      <c r="AG110" s="30" t="s">
        <v>174</v>
      </c>
    </row>
    <row r="111" spans="1:34" ht="12.75" customHeight="1">
      <c r="A111" s="40">
        <f t="shared" si="26"/>
        <v>36</v>
      </c>
      <c r="B111" s="40">
        <f t="shared" si="27"/>
        <v>4</v>
      </c>
      <c r="C111" s="51" t="str">
        <f t="shared" si="15"/>
        <v>3604</v>
      </c>
      <c r="D111" s="30" t="s">
        <v>27</v>
      </c>
      <c r="E111" s="33">
        <v>2013</v>
      </c>
      <c r="F111" s="30" t="s">
        <v>473</v>
      </c>
      <c r="G111" s="30" t="s">
        <v>404</v>
      </c>
      <c r="H111" s="44" t="s">
        <v>462</v>
      </c>
      <c r="I111" s="40" t="s">
        <v>183</v>
      </c>
      <c r="J111" s="40" t="s">
        <v>150</v>
      </c>
      <c r="K111" s="49" t="s">
        <v>331</v>
      </c>
      <c r="L111" s="40">
        <v>3</v>
      </c>
      <c r="M111" s="40" t="s">
        <v>157</v>
      </c>
      <c r="N111" s="30" t="s">
        <v>167</v>
      </c>
      <c r="O111" s="30" t="s">
        <v>699</v>
      </c>
      <c r="P111" s="40">
        <v>2009</v>
      </c>
      <c r="Q111" s="30" t="s">
        <v>834</v>
      </c>
      <c r="R111" s="35">
        <v>-2727</v>
      </c>
      <c r="S111" s="43">
        <v>-2727</v>
      </c>
      <c r="T111" s="32">
        <f t="shared" si="16"/>
        <v>4196.311627</v>
      </c>
      <c r="U111" s="30" t="str">
        <f t="shared" si="17"/>
        <v>Cost-Effective</v>
      </c>
      <c r="V111" s="30" t="str">
        <f t="shared" si="18"/>
        <v>Cost-Effective</v>
      </c>
      <c r="W111" s="41">
        <f t="shared" si="19"/>
        <v>-0.64985640781630161</v>
      </c>
      <c r="X111" s="55">
        <f t="shared" si="20"/>
        <v>1.08</v>
      </c>
      <c r="Y111" s="30" t="str">
        <f t="shared" si="21"/>
        <v>Cost-Effective</v>
      </c>
      <c r="Z111" s="55">
        <f t="shared" si="22"/>
        <v>0.64</v>
      </c>
      <c r="AA111" s="30" t="str">
        <f t="shared" si="28"/>
        <v>Cost-Effective</v>
      </c>
      <c r="AB111" s="55">
        <f t="shared" si="23"/>
        <v>0.64868436103329219</v>
      </c>
      <c r="AC111" s="30" t="str">
        <f t="shared" si="24"/>
        <v>Cost-Effective</v>
      </c>
      <c r="AD111" s="55">
        <f t="shared" si="25"/>
        <v>0.16487209176159878</v>
      </c>
      <c r="AE111" s="30" t="str">
        <f t="shared" si="29"/>
        <v>Cost-Effective</v>
      </c>
      <c r="AF111" s="30" t="s">
        <v>173</v>
      </c>
      <c r="AG111" s="30" t="s">
        <v>239</v>
      </c>
    </row>
    <row r="112" spans="1:34" ht="12.75" customHeight="1">
      <c r="A112" s="40">
        <f t="shared" si="26"/>
        <v>36</v>
      </c>
      <c r="B112" s="40">
        <f t="shared" si="27"/>
        <v>5</v>
      </c>
      <c r="C112" s="51" t="str">
        <f t="shared" si="15"/>
        <v>3605</v>
      </c>
      <c r="D112" s="30" t="s">
        <v>27</v>
      </c>
      <c r="E112" s="33">
        <v>2013</v>
      </c>
      <c r="F112" s="30" t="s">
        <v>473</v>
      </c>
      <c r="G112" s="30" t="s">
        <v>404</v>
      </c>
      <c r="H112" s="44" t="s">
        <v>478</v>
      </c>
      <c r="I112" s="40" t="s">
        <v>186</v>
      </c>
      <c r="J112" s="40" t="s">
        <v>150</v>
      </c>
      <c r="K112" s="49" t="s">
        <v>331</v>
      </c>
      <c r="L112" s="40">
        <v>3</v>
      </c>
      <c r="M112" s="40" t="s">
        <v>157</v>
      </c>
      <c r="N112" s="30" t="s">
        <v>167</v>
      </c>
      <c r="O112" s="30" t="s">
        <v>699</v>
      </c>
      <c r="P112" s="40">
        <v>2009</v>
      </c>
      <c r="Q112" s="30" t="s">
        <v>479</v>
      </c>
      <c r="R112" s="31">
        <f>1310954/719</f>
        <v>1823.3018080667593</v>
      </c>
      <c r="S112" s="43">
        <f>R112</f>
        <v>1823.3018080667593</v>
      </c>
      <c r="T112" s="32">
        <f t="shared" si="16"/>
        <v>4196.311627</v>
      </c>
      <c r="U112" s="30" t="str">
        <f t="shared" si="17"/>
        <v>Cost-Effective</v>
      </c>
      <c r="V112" s="30" t="str">
        <f t="shared" si="18"/>
        <v>Cost-Effective</v>
      </c>
      <c r="W112" s="41">
        <f t="shared" si="19"/>
        <v>0.43450105000191858</v>
      </c>
      <c r="X112" s="55">
        <f t="shared" si="20"/>
        <v>1.08</v>
      </c>
      <c r="Y112" s="30" t="str">
        <f t="shared" si="21"/>
        <v>Cost-Effective</v>
      </c>
      <c r="Z112" s="55">
        <f t="shared" si="22"/>
        <v>0.64</v>
      </c>
      <c r="AA112" s="30" t="str">
        <f t="shared" si="28"/>
        <v>Cost-Effective</v>
      </c>
      <c r="AB112" s="55">
        <f t="shared" si="23"/>
        <v>0.64868436103329219</v>
      </c>
      <c r="AC112" s="30" t="str">
        <f t="shared" si="24"/>
        <v>Cost-Effective</v>
      </c>
      <c r="AD112" s="55">
        <f t="shared" si="25"/>
        <v>0.16487209176159878</v>
      </c>
      <c r="AE112" s="30" t="str">
        <f t="shared" si="29"/>
        <v>Not Cost-Effective</v>
      </c>
      <c r="AF112" s="30" t="s">
        <v>173</v>
      </c>
      <c r="AG112" s="30" t="s">
        <v>174</v>
      </c>
      <c r="AH112" s="30" t="s">
        <v>826</v>
      </c>
    </row>
    <row r="113" spans="1:34" ht="12.75" customHeight="1">
      <c r="A113" s="40">
        <f t="shared" si="26"/>
        <v>37</v>
      </c>
      <c r="B113" s="40">
        <f t="shared" si="27"/>
        <v>1</v>
      </c>
      <c r="C113" s="51" t="str">
        <f t="shared" si="15"/>
        <v>3701</v>
      </c>
      <c r="D113" s="30" t="s">
        <v>480</v>
      </c>
      <c r="E113" s="33">
        <v>2015</v>
      </c>
      <c r="F113" s="30" t="s">
        <v>481</v>
      </c>
      <c r="G113" s="30" t="s">
        <v>482</v>
      </c>
      <c r="H113" s="44" t="s">
        <v>835</v>
      </c>
      <c r="I113" s="40" t="s">
        <v>183</v>
      </c>
      <c r="J113" s="40" t="s">
        <v>151</v>
      </c>
      <c r="K113" s="49" t="s">
        <v>152</v>
      </c>
      <c r="L113" s="40">
        <v>3</v>
      </c>
      <c r="M113" s="40" t="s">
        <v>157</v>
      </c>
      <c r="N113" s="30" t="s">
        <v>167</v>
      </c>
      <c r="O113" s="30" t="s">
        <v>699</v>
      </c>
      <c r="P113" s="40">
        <v>2009</v>
      </c>
      <c r="Q113" s="30" t="s">
        <v>836</v>
      </c>
      <c r="R113" s="35">
        <v>3851</v>
      </c>
      <c r="S113" s="43">
        <v>3851</v>
      </c>
      <c r="T113" s="32">
        <f t="shared" si="16"/>
        <v>3626.8186369999999</v>
      </c>
      <c r="U113" s="30" t="str">
        <f t="shared" si="17"/>
        <v>Not Cost-Effective</v>
      </c>
      <c r="V113" s="30" t="str">
        <f t="shared" si="18"/>
        <v>Cost-Effective</v>
      </c>
      <c r="W113" s="41">
        <f t="shared" si="19"/>
        <v>1.061812123912939</v>
      </c>
      <c r="X113" s="55">
        <f t="shared" si="20"/>
        <v>1.42</v>
      </c>
      <c r="Y113" s="30" t="str">
        <f t="shared" si="21"/>
        <v>Cost-Effective</v>
      </c>
      <c r="Z113" s="55">
        <f t="shared" si="22"/>
        <v>0.83</v>
      </c>
      <c r="AA113" s="30" t="str">
        <f t="shared" si="28"/>
        <v>Not Cost-Effective</v>
      </c>
      <c r="AB113" s="55">
        <f t="shared" si="23"/>
        <v>0.36702186686280114</v>
      </c>
      <c r="AC113" s="30" t="str">
        <f t="shared" si="24"/>
        <v>Not Cost-Effective</v>
      </c>
      <c r="AD113" s="55">
        <f t="shared" si="25"/>
        <v>8.1522984654243125E-2</v>
      </c>
      <c r="AE113" s="30" t="str">
        <f t="shared" si="29"/>
        <v>Not Cost-Effective</v>
      </c>
      <c r="AF113" s="30" t="s">
        <v>173</v>
      </c>
      <c r="AG113" s="30" t="s">
        <v>174</v>
      </c>
    </row>
    <row r="114" spans="1:34" ht="12.75" customHeight="1">
      <c r="A114" s="40">
        <f t="shared" si="26"/>
        <v>37</v>
      </c>
      <c r="B114" s="40">
        <f t="shared" si="27"/>
        <v>2</v>
      </c>
      <c r="C114" s="51" t="str">
        <f t="shared" si="15"/>
        <v>3702</v>
      </c>
      <c r="D114" s="30" t="s">
        <v>480</v>
      </c>
      <c r="E114" s="33">
        <v>2015</v>
      </c>
      <c r="F114" s="30" t="s">
        <v>481</v>
      </c>
      <c r="G114" s="30" t="s">
        <v>482</v>
      </c>
      <c r="H114" s="44" t="s">
        <v>835</v>
      </c>
      <c r="I114" s="40" t="s">
        <v>183</v>
      </c>
      <c r="J114" s="40" t="s">
        <v>151</v>
      </c>
      <c r="K114" s="49" t="s">
        <v>152</v>
      </c>
      <c r="L114" s="40">
        <v>3</v>
      </c>
      <c r="M114" s="40" t="s">
        <v>157</v>
      </c>
      <c r="N114" s="30" t="s">
        <v>153</v>
      </c>
      <c r="O114" s="30" t="s">
        <v>699</v>
      </c>
      <c r="P114" s="40">
        <v>2009</v>
      </c>
      <c r="Q114" s="30" t="s">
        <v>837</v>
      </c>
      <c r="R114" s="35">
        <v>1920</v>
      </c>
      <c r="S114" s="43">
        <v>1920</v>
      </c>
      <c r="T114" s="32">
        <f t="shared" si="16"/>
        <v>3626.8186369999999</v>
      </c>
      <c r="U114" s="30" t="str">
        <f t="shared" si="17"/>
        <v>Cost-Effective</v>
      </c>
      <c r="V114" s="30" t="str">
        <f t="shared" si="18"/>
        <v>Cost-Effective</v>
      </c>
      <c r="W114" s="41">
        <f t="shared" si="19"/>
        <v>0.52938958138479431</v>
      </c>
      <c r="X114" s="55">
        <f t="shared" si="20"/>
        <v>1.42</v>
      </c>
      <c r="Y114" s="30" t="str">
        <f t="shared" si="21"/>
        <v>Cost-Effective</v>
      </c>
      <c r="Z114" s="55">
        <f t="shared" si="22"/>
        <v>0.83</v>
      </c>
      <c r="AA114" s="30" t="str">
        <f t="shared" si="28"/>
        <v>Cost-Effective</v>
      </c>
      <c r="AB114" s="55">
        <f t="shared" si="23"/>
        <v>0.36702186686280114</v>
      </c>
      <c r="AC114" s="30" t="str">
        <f t="shared" si="24"/>
        <v>Not Cost-Effective</v>
      </c>
      <c r="AD114" s="55">
        <f t="shared" si="25"/>
        <v>8.1522984654243125E-2</v>
      </c>
      <c r="AE114" s="30" t="str">
        <f t="shared" si="29"/>
        <v>Not Cost-Effective</v>
      </c>
      <c r="AF114" s="30" t="s">
        <v>173</v>
      </c>
      <c r="AG114" s="30" t="s">
        <v>174</v>
      </c>
    </row>
    <row r="115" spans="1:34" ht="12.75" customHeight="1">
      <c r="A115" s="40">
        <f t="shared" si="26"/>
        <v>37</v>
      </c>
      <c r="B115" s="40">
        <f t="shared" si="27"/>
        <v>3</v>
      </c>
      <c r="C115" s="51" t="str">
        <f t="shared" si="15"/>
        <v>3703</v>
      </c>
      <c r="D115" s="30" t="s">
        <v>480</v>
      </c>
      <c r="E115" s="33">
        <v>2015</v>
      </c>
      <c r="F115" s="30" t="s">
        <v>481</v>
      </c>
      <c r="G115" s="30" t="s">
        <v>482</v>
      </c>
      <c r="H115" s="44" t="s">
        <v>838</v>
      </c>
      <c r="I115" s="40" t="s">
        <v>186</v>
      </c>
      <c r="J115" s="40" t="s">
        <v>151</v>
      </c>
      <c r="K115" s="49" t="s">
        <v>152</v>
      </c>
      <c r="L115" s="40">
        <v>3</v>
      </c>
      <c r="M115" s="40" t="s">
        <v>157</v>
      </c>
      <c r="N115" s="30" t="s">
        <v>167</v>
      </c>
      <c r="O115" s="30" t="s">
        <v>699</v>
      </c>
      <c r="P115" s="40">
        <v>2009</v>
      </c>
      <c r="Q115" s="30" t="s">
        <v>839</v>
      </c>
      <c r="R115" s="35">
        <v>4901</v>
      </c>
      <c r="S115" s="43">
        <v>4901</v>
      </c>
      <c r="T115" s="32">
        <f t="shared" si="16"/>
        <v>3626.8186369999999</v>
      </c>
      <c r="U115" s="30" t="str">
        <f t="shared" si="17"/>
        <v>Not Cost-Effective</v>
      </c>
      <c r="V115" s="30" t="str">
        <f t="shared" si="18"/>
        <v>Cost-Effective</v>
      </c>
      <c r="W115" s="41">
        <f t="shared" si="19"/>
        <v>1.3513220512327482</v>
      </c>
      <c r="X115" s="55">
        <f t="shared" si="20"/>
        <v>1.42</v>
      </c>
      <c r="Y115" s="30" t="str">
        <f t="shared" si="21"/>
        <v>Cost-Effective</v>
      </c>
      <c r="Z115" s="55">
        <f t="shared" si="22"/>
        <v>0.83</v>
      </c>
      <c r="AA115" s="30" t="str">
        <f t="shared" si="28"/>
        <v>Not Cost-Effective</v>
      </c>
      <c r="AB115" s="55">
        <f t="shared" si="23"/>
        <v>0.36702186686280114</v>
      </c>
      <c r="AC115" s="30" t="str">
        <f t="shared" si="24"/>
        <v>Not Cost-Effective</v>
      </c>
      <c r="AD115" s="55">
        <f t="shared" si="25"/>
        <v>8.1522984654243125E-2</v>
      </c>
      <c r="AE115" s="30" t="str">
        <f t="shared" si="29"/>
        <v>Not Cost-Effective</v>
      </c>
      <c r="AF115" s="30" t="s">
        <v>173</v>
      </c>
      <c r="AG115" s="30" t="s">
        <v>174</v>
      </c>
    </row>
    <row r="116" spans="1:34" ht="12.75" customHeight="1">
      <c r="A116" s="40">
        <f t="shared" si="26"/>
        <v>37</v>
      </c>
      <c r="B116" s="40">
        <f t="shared" si="27"/>
        <v>4</v>
      </c>
      <c r="C116" s="51" t="str">
        <f t="shared" si="15"/>
        <v>3704</v>
      </c>
      <c r="D116" s="30" t="s">
        <v>480</v>
      </c>
      <c r="E116" s="33">
        <v>2015</v>
      </c>
      <c r="F116" s="30" t="s">
        <v>481</v>
      </c>
      <c r="G116" s="30" t="s">
        <v>482</v>
      </c>
      <c r="H116" s="44" t="s">
        <v>838</v>
      </c>
      <c r="I116" s="40" t="s">
        <v>186</v>
      </c>
      <c r="J116" s="40" t="s">
        <v>151</v>
      </c>
      <c r="K116" s="49" t="s">
        <v>152</v>
      </c>
      <c r="L116" s="40">
        <v>3</v>
      </c>
      <c r="M116" s="40" t="s">
        <v>157</v>
      </c>
      <c r="N116" s="30" t="s">
        <v>153</v>
      </c>
      <c r="O116" s="30" t="s">
        <v>699</v>
      </c>
      <c r="P116" s="40">
        <v>2009</v>
      </c>
      <c r="Q116" s="30" t="s">
        <v>840</v>
      </c>
      <c r="R116" s="35">
        <v>3657</v>
      </c>
      <c r="S116" s="43">
        <v>3657</v>
      </c>
      <c r="T116" s="32">
        <f t="shared" si="16"/>
        <v>3626.8186369999999</v>
      </c>
      <c r="U116" s="30" t="str">
        <f t="shared" si="17"/>
        <v>Not Cost-Effective</v>
      </c>
      <c r="V116" s="30" t="str">
        <f t="shared" si="18"/>
        <v>Cost-Effective</v>
      </c>
      <c r="W116" s="41">
        <f t="shared" si="19"/>
        <v>1.0083217182938502</v>
      </c>
      <c r="X116" s="55">
        <f t="shared" si="20"/>
        <v>1.42</v>
      </c>
      <c r="Y116" s="30" t="str">
        <f t="shared" si="21"/>
        <v>Cost-Effective</v>
      </c>
      <c r="Z116" s="55">
        <f t="shared" si="22"/>
        <v>0.83</v>
      </c>
      <c r="AA116" s="30" t="str">
        <f t="shared" si="28"/>
        <v>Not Cost-Effective</v>
      </c>
      <c r="AB116" s="55">
        <f t="shared" si="23"/>
        <v>0.36702186686280114</v>
      </c>
      <c r="AC116" s="30" t="str">
        <f t="shared" si="24"/>
        <v>Not Cost-Effective</v>
      </c>
      <c r="AD116" s="55">
        <f t="shared" si="25"/>
        <v>8.1522984654243125E-2</v>
      </c>
      <c r="AE116" s="30" t="str">
        <f t="shared" si="29"/>
        <v>Not Cost-Effective</v>
      </c>
      <c r="AF116" s="30" t="s">
        <v>173</v>
      </c>
      <c r="AG116" s="30" t="s">
        <v>174</v>
      </c>
    </row>
    <row r="117" spans="1:34" ht="12.75" customHeight="1">
      <c r="A117" s="40">
        <f t="shared" si="26"/>
        <v>37</v>
      </c>
      <c r="B117" s="40">
        <f t="shared" si="27"/>
        <v>5</v>
      </c>
      <c r="C117" s="51" t="str">
        <f t="shared" si="15"/>
        <v>3705</v>
      </c>
      <c r="D117" s="30" t="s">
        <v>480</v>
      </c>
      <c r="E117" s="33">
        <v>2015</v>
      </c>
      <c r="F117" s="30" t="s">
        <v>481</v>
      </c>
      <c r="G117" s="30" t="s">
        <v>482</v>
      </c>
      <c r="H117" s="44" t="s">
        <v>794</v>
      </c>
      <c r="I117" s="40" t="s">
        <v>186</v>
      </c>
      <c r="J117" s="40" t="s">
        <v>183</v>
      </c>
      <c r="K117" s="49" t="s">
        <v>152</v>
      </c>
      <c r="L117" s="40">
        <v>3</v>
      </c>
      <c r="M117" s="40" t="s">
        <v>157</v>
      </c>
      <c r="N117" s="30" t="s">
        <v>167</v>
      </c>
      <c r="O117" s="30" t="s">
        <v>699</v>
      </c>
      <c r="P117" s="40">
        <v>2009</v>
      </c>
      <c r="Q117" s="30" t="s">
        <v>841</v>
      </c>
      <c r="R117" s="35">
        <v>12181</v>
      </c>
      <c r="S117" s="43">
        <v>12181</v>
      </c>
      <c r="T117" s="32">
        <f t="shared" si="16"/>
        <v>3626.8186369999999</v>
      </c>
      <c r="U117" s="30" t="str">
        <f t="shared" si="17"/>
        <v>Not Cost-Effective</v>
      </c>
      <c r="V117" s="30" t="str">
        <f t="shared" si="18"/>
        <v>Not Cost-Effective</v>
      </c>
      <c r="W117" s="41">
        <f t="shared" si="19"/>
        <v>3.3585908806500933</v>
      </c>
      <c r="X117" s="55">
        <f t="shared" si="20"/>
        <v>1.42</v>
      </c>
      <c r="Y117" s="30" t="str">
        <f t="shared" si="21"/>
        <v>Not Cost-Effective</v>
      </c>
      <c r="Z117" s="55">
        <f t="shared" si="22"/>
        <v>0.83</v>
      </c>
      <c r="AA117" s="30" t="str">
        <f t="shared" si="28"/>
        <v>Not Cost-Effective</v>
      </c>
      <c r="AB117" s="55">
        <f t="shared" si="23"/>
        <v>0.36702186686280114</v>
      </c>
      <c r="AC117" s="30" t="str">
        <f t="shared" si="24"/>
        <v>Not Cost-Effective</v>
      </c>
      <c r="AD117" s="55">
        <f t="shared" si="25"/>
        <v>8.1522984654243125E-2</v>
      </c>
      <c r="AE117" s="30" t="str">
        <f t="shared" si="29"/>
        <v>Not Cost-Effective</v>
      </c>
      <c r="AF117" s="30" t="s">
        <v>173</v>
      </c>
      <c r="AG117" s="30" t="s">
        <v>161</v>
      </c>
    </row>
    <row r="118" spans="1:34" ht="12.75" customHeight="1">
      <c r="A118" s="40">
        <f t="shared" si="26"/>
        <v>37</v>
      </c>
      <c r="B118" s="40">
        <f t="shared" si="27"/>
        <v>6</v>
      </c>
      <c r="C118" s="51" t="str">
        <f t="shared" si="15"/>
        <v>3706</v>
      </c>
      <c r="D118" s="30" t="s">
        <v>480</v>
      </c>
      <c r="E118" s="33">
        <v>2015</v>
      </c>
      <c r="F118" s="30" t="s">
        <v>481</v>
      </c>
      <c r="G118" s="30" t="s">
        <v>482</v>
      </c>
      <c r="H118" s="44" t="s">
        <v>794</v>
      </c>
      <c r="I118" s="40" t="s">
        <v>186</v>
      </c>
      <c r="J118" s="40" t="s">
        <v>183</v>
      </c>
      <c r="K118" s="49" t="s">
        <v>152</v>
      </c>
      <c r="L118" s="40">
        <v>3</v>
      </c>
      <c r="M118" s="40" t="s">
        <v>157</v>
      </c>
      <c r="N118" s="30" t="s">
        <v>153</v>
      </c>
      <c r="O118" s="30" t="s">
        <v>699</v>
      </c>
      <c r="P118" s="40">
        <v>2009</v>
      </c>
      <c r="Q118" s="30" t="s">
        <v>842</v>
      </c>
      <c r="R118" s="35">
        <v>3851</v>
      </c>
      <c r="S118" s="43">
        <v>3851</v>
      </c>
      <c r="T118" s="32">
        <f t="shared" si="16"/>
        <v>3626.8186369999999</v>
      </c>
      <c r="U118" s="30" t="str">
        <f t="shared" si="17"/>
        <v>Not Cost-Effective</v>
      </c>
      <c r="V118" s="30" t="str">
        <f t="shared" si="18"/>
        <v>Cost-Effective</v>
      </c>
      <c r="W118" s="41">
        <f t="shared" si="19"/>
        <v>1.061812123912939</v>
      </c>
      <c r="X118" s="55">
        <f t="shared" si="20"/>
        <v>1.42</v>
      </c>
      <c r="Y118" s="30" t="str">
        <f t="shared" si="21"/>
        <v>Cost-Effective</v>
      </c>
      <c r="Z118" s="55">
        <f t="shared" si="22"/>
        <v>0.83</v>
      </c>
      <c r="AA118" s="30" t="str">
        <f t="shared" si="28"/>
        <v>Not Cost-Effective</v>
      </c>
      <c r="AB118" s="55">
        <f t="shared" si="23"/>
        <v>0.36702186686280114</v>
      </c>
      <c r="AC118" s="30" t="str">
        <f t="shared" si="24"/>
        <v>Not Cost-Effective</v>
      </c>
      <c r="AD118" s="55">
        <f t="shared" si="25"/>
        <v>8.1522984654243125E-2</v>
      </c>
      <c r="AE118" s="30" t="str">
        <f t="shared" si="29"/>
        <v>Not Cost-Effective</v>
      </c>
      <c r="AF118" s="30" t="s">
        <v>173</v>
      </c>
      <c r="AG118" s="30" t="s">
        <v>174</v>
      </c>
    </row>
    <row r="119" spans="1:34" ht="12.75" customHeight="1">
      <c r="A119" s="40">
        <f t="shared" si="26"/>
        <v>38</v>
      </c>
      <c r="B119" s="40">
        <f t="shared" si="27"/>
        <v>1</v>
      </c>
      <c r="C119" s="51" t="str">
        <f t="shared" si="15"/>
        <v>3801</v>
      </c>
      <c r="D119" s="30" t="s">
        <v>492</v>
      </c>
      <c r="E119" s="33">
        <v>2015</v>
      </c>
      <c r="F119" s="30" t="s">
        <v>493</v>
      </c>
      <c r="G119" s="30" t="s">
        <v>494</v>
      </c>
      <c r="H119" s="44" t="s">
        <v>832</v>
      </c>
      <c r="I119" s="40" t="s">
        <v>183</v>
      </c>
      <c r="J119" s="40" t="s">
        <v>151</v>
      </c>
      <c r="K119" s="49" t="s">
        <v>331</v>
      </c>
      <c r="L119" s="40">
        <v>3</v>
      </c>
      <c r="M119" s="40" t="s">
        <v>157</v>
      </c>
      <c r="N119" s="30" t="s">
        <v>167</v>
      </c>
      <c r="O119" s="30" t="s">
        <v>699</v>
      </c>
      <c r="P119" s="40">
        <v>2014</v>
      </c>
      <c r="Q119" s="30" t="s">
        <v>843</v>
      </c>
      <c r="R119" s="35">
        <v>1599</v>
      </c>
      <c r="S119" s="43">
        <v>1599</v>
      </c>
      <c r="T119" s="32">
        <f t="shared" si="16"/>
        <v>4739.1883379999999</v>
      </c>
      <c r="U119" s="30" t="str">
        <f t="shared" si="17"/>
        <v>Cost-Effective</v>
      </c>
      <c r="V119" s="30" t="str">
        <f t="shared" si="18"/>
        <v>Cost-Effective</v>
      </c>
      <c r="W119" s="41">
        <f t="shared" si="19"/>
        <v>0.33739954733995636</v>
      </c>
      <c r="X119" s="55">
        <f t="shared" si="20"/>
        <v>0.27</v>
      </c>
      <c r="Y119" s="30" t="str">
        <f t="shared" si="21"/>
        <v>Not Cost-Effective</v>
      </c>
      <c r="Z119" s="55">
        <f t="shared" si="22"/>
        <v>0.2</v>
      </c>
      <c r="AA119" s="30" t="str">
        <f t="shared" si="28"/>
        <v>Not Cost-Effective</v>
      </c>
      <c r="AB119" s="55">
        <f t="shared" si="23"/>
        <v>0.40010850728742287</v>
      </c>
      <c r="AC119" s="30" t="str">
        <f t="shared" si="24"/>
        <v>Cost-Effective</v>
      </c>
      <c r="AD119" s="55">
        <f t="shared" si="25"/>
        <v>7.9156601982268524E-2</v>
      </c>
      <c r="AE119" s="30" t="str">
        <f t="shared" si="29"/>
        <v>Not Cost-Effective</v>
      </c>
      <c r="AF119" s="30" t="s">
        <v>210</v>
      </c>
      <c r="AG119" s="30" t="s">
        <v>174</v>
      </c>
    </row>
    <row r="120" spans="1:34" ht="12.75" customHeight="1">
      <c r="A120" s="40">
        <f t="shared" ref="A120:A149" si="30">IF(F120=F119,A119,A119+1)</f>
        <v>39</v>
      </c>
      <c r="B120" s="40">
        <f t="shared" ref="B120:B149" si="31">IF(F120=F119,B119+1,1)</f>
        <v>1</v>
      </c>
      <c r="C120" s="51" t="str">
        <f t="shared" ref="C120:C149" si="32">_xlfn.CONCAT(TEXT(A120,"00"),TEXT(B120,"00"))</f>
        <v>3901</v>
      </c>
      <c r="D120" s="30" t="s">
        <v>501</v>
      </c>
      <c r="E120" s="33">
        <v>2015</v>
      </c>
      <c r="F120" s="30" t="s">
        <v>502</v>
      </c>
      <c r="G120" s="30" t="s">
        <v>421</v>
      </c>
      <c r="H120" s="44" t="s">
        <v>838</v>
      </c>
      <c r="I120" s="40" t="s">
        <v>186</v>
      </c>
      <c r="J120" s="40" t="s">
        <v>151</v>
      </c>
      <c r="K120" s="49" t="s">
        <v>198</v>
      </c>
      <c r="L120" s="40">
        <v>4</v>
      </c>
      <c r="M120" s="40" t="s">
        <v>157</v>
      </c>
      <c r="N120" s="30" t="s">
        <v>167</v>
      </c>
      <c r="O120" s="30" t="s">
        <v>699</v>
      </c>
      <c r="P120" s="40">
        <v>2013</v>
      </c>
      <c r="Q120" s="30" t="s">
        <v>844</v>
      </c>
      <c r="R120" s="35">
        <v>489.26</v>
      </c>
      <c r="S120" s="43">
        <v>489.26</v>
      </c>
      <c r="T120" s="32">
        <f t="shared" si="16"/>
        <v>8218.3478443147796</v>
      </c>
      <c r="U120" s="30" t="str">
        <f t="shared" si="17"/>
        <v>Cost-Effective</v>
      </c>
      <c r="V120" s="30" t="str">
        <f t="shared" si="18"/>
        <v>Cost-Effective</v>
      </c>
      <c r="W120" s="41">
        <f t="shared" si="19"/>
        <v>5.9532646861431671E-2</v>
      </c>
      <c r="X120" s="55">
        <f t="shared" si="20"/>
        <v>1.89</v>
      </c>
      <c r="Y120" s="30" t="str">
        <f t="shared" si="21"/>
        <v>Cost-Effective</v>
      </c>
      <c r="Z120" s="55">
        <f t="shared" si="22"/>
        <v>1.17</v>
      </c>
      <c r="AA120" s="30" t="str">
        <f t="shared" si="28"/>
        <v>Cost-Effective</v>
      </c>
      <c r="AB120" s="55">
        <f t="shared" si="23"/>
        <v>0.67142448878179284</v>
      </c>
      <c r="AC120" s="30" t="str">
        <f t="shared" si="24"/>
        <v>Cost-Effective</v>
      </c>
      <c r="AD120" s="55">
        <f t="shared" si="25"/>
        <v>0.16670017209696561</v>
      </c>
      <c r="AE120" s="30" t="str">
        <f t="shared" si="29"/>
        <v>Cost-Effective</v>
      </c>
      <c r="AF120" s="30" t="s">
        <v>210</v>
      </c>
      <c r="AG120" s="30" t="s">
        <v>174</v>
      </c>
      <c r="AH120" s="30" t="s">
        <v>845</v>
      </c>
    </row>
    <row r="121" spans="1:34" ht="12.75" customHeight="1">
      <c r="A121" s="40">
        <f t="shared" si="30"/>
        <v>39</v>
      </c>
      <c r="B121" s="40">
        <f t="shared" si="31"/>
        <v>2</v>
      </c>
      <c r="C121" s="51" t="str">
        <f t="shared" si="32"/>
        <v>3902</v>
      </c>
      <c r="D121" s="30" t="s">
        <v>501</v>
      </c>
      <c r="E121" s="33">
        <v>2015</v>
      </c>
      <c r="F121" s="30" t="s">
        <v>502</v>
      </c>
      <c r="G121" s="30" t="s">
        <v>421</v>
      </c>
      <c r="H121" s="44" t="s">
        <v>835</v>
      </c>
      <c r="I121" s="40" t="s">
        <v>183</v>
      </c>
      <c r="J121" s="40" t="s">
        <v>151</v>
      </c>
      <c r="K121" s="49" t="s">
        <v>198</v>
      </c>
      <c r="L121" s="40">
        <v>4</v>
      </c>
      <c r="M121" s="40" t="s">
        <v>157</v>
      </c>
      <c r="N121" s="30" t="s">
        <v>167</v>
      </c>
      <c r="O121" s="30" t="s">
        <v>699</v>
      </c>
      <c r="P121" s="40">
        <v>2013</v>
      </c>
      <c r="Q121" s="30" t="s">
        <v>846</v>
      </c>
      <c r="R121" s="35">
        <v>813.41</v>
      </c>
      <c r="S121" s="43">
        <v>813.41</v>
      </c>
      <c r="T121" s="32">
        <f t="shared" si="16"/>
        <v>8218.3478443147796</v>
      </c>
      <c r="U121" s="30" t="str">
        <f t="shared" si="17"/>
        <v>Cost-Effective</v>
      </c>
      <c r="V121" s="30" t="str">
        <f t="shared" si="18"/>
        <v>Cost-Effective</v>
      </c>
      <c r="W121" s="41">
        <f t="shared" si="19"/>
        <v>9.897488101123561E-2</v>
      </c>
      <c r="X121" s="55">
        <f t="shared" si="20"/>
        <v>1.89</v>
      </c>
      <c r="Y121" s="30" t="str">
        <f t="shared" si="21"/>
        <v>Cost-Effective</v>
      </c>
      <c r="Z121" s="55">
        <f t="shared" si="22"/>
        <v>1.17</v>
      </c>
      <c r="AA121" s="30" t="str">
        <f t="shared" si="28"/>
        <v>Cost-Effective</v>
      </c>
      <c r="AB121" s="55">
        <f t="shared" si="23"/>
        <v>0.67142448878179284</v>
      </c>
      <c r="AC121" s="30" t="str">
        <f t="shared" si="24"/>
        <v>Cost-Effective</v>
      </c>
      <c r="AD121" s="55">
        <f t="shared" si="25"/>
        <v>0.16670017209696561</v>
      </c>
      <c r="AE121" s="30" t="str">
        <f t="shared" si="29"/>
        <v>Cost-Effective</v>
      </c>
      <c r="AF121" s="30" t="s">
        <v>210</v>
      </c>
      <c r="AG121" s="30" t="s">
        <v>174</v>
      </c>
      <c r="AH121" s="30" t="s">
        <v>845</v>
      </c>
    </row>
    <row r="122" spans="1:34" s="64" customFormat="1" ht="12.75" customHeight="1">
      <c r="A122" s="40">
        <f t="shared" si="30"/>
        <v>39</v>
      </c>
      <c r="B122" s="40">
        <f t="shared" si="31"/>
        <v>3</v>
      </c>
      <c r="C122" s="51" t="str">
        <f t="shared" si="32"/>
        <v>3903</v>
      </c>
      <c r="D122" s="64" t="s">
        <v>501</v>
      </c>
      <c r="E122" s="72">
        <v>2015</v>
      </c>
      <c r="F122" s="64" t="s">
        <v>502</v>
      </c>
      <c r="G122" s="64" t="s">
        <v>421</v>
      </c>
      <c r="H122" s="64" t="s">
        <v>847</v>
      </c>
      <c r="I122" s="63" t="s">
        <v>186</v>
      </c>
      <c r="J122" s="63" t="s">
        <v>183</v>
      </c>
      <c r="K122" s="65" t="s">
        <v>198</v>
      </c>
      <c r="L122" s="63">
        <v>4</v>
      </c>
      <c r="M122" s="63" t="s">
        <v>157</v>
      </c>
      <c r="N122" s="73" t="s">
        <v>167</v>
      </c>
      <c r="O122" s="64" t="s">
        <v>699</v>
      </c>
      <c r="P122" s="72">
        <v>2013</v>
      </c>
      <c r="Q122" s="64" t="s">
        <v>848</v>
      </c>
      <c r="R122" s="66">
        <v>417.53</v>
      </c>
      <c r="S122" s="74">
        <f>R122</f>
        <v>417.53</v>
      </c>
      <c r="T122" s="74">
        <f t="shared" si="16"/>
        <v>8218.3478443147796</v>
      </c>
      <c r="U122" s="64" t="str">
        <f t="shared" si="17"/>
        <v>Cost-Effective</v>
      </c>
      <c r="V122" s="64" t="str">
        <f t="shared" si="18"/>
        <v>Cost-Effective</v>
      </c>
      <c r="W122" s="75">
        <f t="shared" si="19"/>
        <v>5.08046152230993E-2</v>
      </c>
      <c r="X122" s="76">
        <f t="shared" si="20"/>
        <v>1.89</v>
      </c>
      <c r="Y122" s="64" t="str">
        <f t="shared" si="21"/>
        <v>Cost-Effective</v>
      </c>
      <c r="Z122" s="76">
        <f t="shared" si="22"/>
        <v>1.17</v>
      </c>
      <c r="AA122" s="64" t="str">
        <f t="shared" si="28"/>
        <v>Cost-Effective</v>
      </c>
      <c r="AB122" s="76">
        <f t="shared" si="23"/>
        <v>0.67142448878179284</v>
      </c>
      <c r="AC122" s="64" t="str">
        <f t="shared" si="24"/>
        <v>Cost-Effective</v>
      </c>
      <c r="AD122" s="76">
        <f t="shared" si="25"/>
        <v>0.16670017209696561</v>
      </c>
      <c r="AE122" s="64" t="str">
        <f t="shared" si="29"/>
        <v>Cost-Effective</v>
      </c>
      <c r="AF122" s="64" t="s">
        <v>210</v>
      </c>
      <c r="AG122" s="64" t="s">
        <v>174</v>
      </c>
      <c r="AH122" s="64" t="s">
        <v>721</v>
      </c>
    </row>
    <row r="123" spans="1:34" ht="12.75" customHeight="1">
      <c r="A123" s="40">
        <f t="shared" si="30"/>
        <v>40</v>
      </c>
      <c r="B123" s="40">
        <f t="shared" si="31"/>
        <v>1</v>
      </c>
      <c r="C123" s="51" t="str">
        <f t="shared" si="32"/>
        <v>4001</v>
      </c>
      <c r="D123" s="30" t="s">
        <v>506</v>
      </c>
      <c r="E123" s="33">
        <v>2010</v>
      </c>
      <c r="F123" s="30" t="s">
        <v>507</v>
      </c>
      <c r="G123" s="30" t="s">
        <v>330</v>
      </c>
      <c r="H123" s="44" t="s">
        <v>832</v>
      </c>
      <c r="I123" s="40" t="s">
        <v>183</v>
      </c>
      <c r="J123" s="40" t="s">
        <v>151</v>
      </c>
      <c r="K123" s="49" t="s">
        <v>331</v>
      </c>
      <c r="L123" s="40">
        <v>3</v>
      </c>
      <c r="M123" s="40" t="s">
        <v>157</v>
      </c>
      <c r="N123" s="30" t="s">
        <v>153</v>
      </c>
      <c r="O123" s="30" t="s">
        <v>758</v>
      </c>
      <c r="P123" s="40">
        <v>2004</v>
      </c>
      <c r="Q123" s="30" t="s">
        <v>509</v>
      </c>
      <c r="R123" s="35">
        <v>22066</v>
      </c>
      <c r="S123" s="43">
        <f>R123/xRates!$J$28</f>
        <v>7543.6235616470876</v>
      </c>
      <c r="T123" s="32">
        <f t="shared" si="16"/>
        <v>3637.3138899999999</v>
      </c>
      <c r="U123" s="30" t="str">
        <f t="shared" si="17"/>
        <v>Not Cost-Effective</v>
      </c>
      <c r="V123" s="30" t="str">
        <f t="shared" si="18"/>
        <v>Cost-Effective</v>
      </c>
      <c r="W123" s="41">
        <f t="shared" si="19"/>
        <v>2.0739545141777929</v>
      </c>
      <c r="X123" s="55">
        <f t="shared" si="20"/>
        <v>1.0900000000000001</v>
      </c>
      <c r="Y123" s="30" t="str">
        <f t="shared" si="21"/>
        <v>Not Cost-Effective</v>
      </c>
      <c r="Z123" s="55">
        <f t="shared" si="22"/>
        <v>0.71</v>
      </c>
      <c r="AA123" s="30" t="str">
        <f t="shared" si="28"/>
        <v>Not Cost-Effective</v>
      </c>
      <c r="AB123" s="55">
        <f t="shared" si="23"/>
        <v>0.61331405073457201</v>
      </c>
      <c r="AC123" s="30" t="str">
        <f t="shared" si="24"/>
        <v>Not Cost-Effective</v>
      </c>
      <c r="AD123" s="55">
        <f t="shared" si="25"/>
        <v>0.19454672897770822</v>
      </c>
      <c r="AE123" s="30" t="str">
        <f t="shared" si="29"/>
        <v>Not Cost-Effective</v>
      </c>
      <c r="AF123" s="30" t="s">
        <v>173</v>
      </c>
      <c r="AG123" s="30" t="s">
        <v>174</v>
      </c>
    </row>
    <row r="124" spans="1:34" ht="12.75" customHeight="1">
      <c r="A124" s="40">
        <f t="shared" si="30"/>
        <v>40</v>
      </c>
      <c r="B124" s="40">
        <f t="shared" si="31"/>
        <v>2</v>
      </c>
      <c r="C124" s="51" t="str">
        <f t="shared" si="32"/>
        <v>4002</v>
      </c>
      <c r="D124" s="30" t="s">
        <v>506</v>
      </c>
      <c r="E124" s="33">
        <v>2010</v>
      </c>
      <c r="F124" s="30" t="s">
        <v>507</v>
      </c>
      <c r="G124" s="30" t="s">
        <v>330</v>
      </c>
      <c r="H124" s="44" t="s">
        <v>832</v>
      </c>
      <c r="I124" s="40" t="s">
        <v>183</v>
      </c>
      <c r="J124" s="40" t="s">
        <v>151</v>
      </c>
      <c r="K124" s="49" t="s">
        <v>331</v>
      </c>
      <c r="L124" s="40">
        <v>3</v>
      </c>
      <c r="M124" s="40" t="s">
        <v>157</v>
      </c>
      <c r="N124" s="30" t="s">
        <v>167</v>
      </c>
      <c r="O124" s="30" t="s">
        <v>758</v>
      </c>
      <c r="P124" s="40">
        <v>2004</v>
      </c>
      <c r="Q124" s="30" t="s">
        <v>510</v>
      </c>
      <c r="R124" s="35">
        <v>24930</v>
      </c>
      <c r="S124" s="43">
        <f>R124/xRates!$J$28</f>
        <v>8522.72887663654</v>
      </c>
      <c r="T124" s="32">
        <f t="shared" si="16"/>
        <v>3637.3138899999999</v>
      </c>
      <c r="U124" s="30" t="str">
        <f t="shared" si="17"/>
        <v>Not Cost-Effective</v>
      </c>
      <c r="V124" s="30" t="str">
        <f t="shared" si="18"/>
        <v>Cost-Effective</v>
      </c>
      <c r="W124" s="41">
        <f t="shared" si="19"/>
        <v>2.3431381328039689</v>
      </c>
      <c r="X124" s="55">
        <f t="shared" si="20"/>
        <v>1.0900000000000001</v>
      </c>
      <c r="Y124" s="30" t="str">
        <f t="shared" si="21"/>
        <v>Not Cost-Effective</v>
      </c>
      <c r="Z124" s="55">
        <f t="shared" si="22"/>
        <v>0.71</v>
      </c>
      <c r="AA124" s="30" t="str">
        <f t="shared" si="28"/>
        <v>Not Cost-Effective</v>
      </c>
      <c r="AB124" s="55">
        <f t="shared" si="23"/>
        <v>0.61331405073457201</v>
      </c>
      <c r="AC124" s="30" t="str">
        <f t="shared" si="24"/>
        <v>Not Cost-Effective</v>
      </c>
      <c r="AD124" s="55">
        <f t="shared" si="25"/>
        <v>0.19454672897770822</v>
      </c>
      <c r="AE124" s="30" t="str">
        <f t="shared" si="29"/>
        <v>Not Cost-Effective</v>
      </c>
      <c r="AF124" s="30" t="s">
        <v>173</v>
      </c>
      <c r="AG124" s="30" t="s">
        <v>174</v>
      </c>
    </row>
    <row r="125" spans="1:34" ht="12.75" customHeight="1">
      <c r="A125" s="40">
        <f t="shared" si="30"/>
        <v>41</v>
      </c>
      <c r="B125" s="40">
        <f t="shared" si="31"/>
        <v>1</v>
      </c>
      <c r="C125" s="51" t="str">
        <f t="shared" si="32"/>
        <v>4101</v>
      </c>
      <c r="D125" s="30" t="s">
        <v>511</v>
      </c>
      <c r="E125" s="33">
        <v>2013</v>
      </c>
      <c r="F125" s="30" t="s">
        <v>512</v>
      </c>
      <c r="G125" s="30" t="s">
        <v>455</v>
      </c>
      <c r="H125" s="44" t="s">
        <v>513</v>
      </c>
      <c r="I125" s="40" t="s">
        <v>150</v>
      </c>
      <c r="J125" s="40" t="s">
        <v>151</v>
      </c>
      <c r="K125" s="49" t="s">
        <v>166</v>
      </c>
      <c r="L125" s="40">
        <v>4</v>
      </c>
      <c r="M125" s="40" t="s">
        <v>157</v>
      </c>
      <c r="N125" s="30" t="s">
        <v>167</v>
      </c>
      <c r="O125" s="30" t="s">
        <v>699</v>
      </c>
      <c r="P125" s="40">
        <v>2011</v>
      </c>
      <c r="Q125" s="30" t="s">
        <v>849</v>
      </c>
      <c r="R125" s="35">
        <v>7109</v>
      </c>
      <c r="S125" s="43">
        <v>7109</v>
      </c>
      <c r="T125" s="32">
        <f t="shared" si="16"/>
        <v>11420.55546</v>
      </c>
      <c r="U125" s="30" t="str">
        <f t="shared" si="17"/>
        <v>Cost-Effective</v>
      </c>
      <c r="V125" s="30" t="str">
        <f t="shared" si="18"/>
        <v>Cost-Effective</v>
      </c>
      <c r="W125" s="41">
        <f t="shared" si="19"/>
        <v>0.6224741016230747</v>
      </c>
      <c r="X125" s="55">
        <f t="shared" si="20"/>
        <v>1.43</v>
      </c>
      <c r="Y125" s="30" t="str">
        <f t="shared" si="21"/>
        <v>Cost-Effective</v>
      </c>
      <c r="Z125" s="55">
        <f t="shared" si="22"/>
        <v>0.82</v>
      </c>
      <c r="AA125" s="30" t="str">
        <f t="shared" si="28"/>
        <v>Cost-Effective</v>
      </c>
      <c r="AB125" s="55">
        <f t="shared" si="23"/>
        <v>0.54388575340378054</v>
      </c>
      <c r="AC125" s="30" t="str">
        <f t="shared" si="24"/>
        <v>Not Cost-Effective</v>
      </c>
      <c r="AD125" s="55">
        <f t="shared" si="25"/>
        <v>0.2338526413848058</v>
      </c>
      <c r="AE125" s="30" t="str">
        <f t="shared" si="29"/>
        <v>Not Cost-Effective</v>
      </c>
      <c r="AF125" s="30" t="s">
        <v>210</v>
      </c>
      <c r="AG125" s="30" t="s">
        <v>174</v>
      </c>
    </row>
    <row r="126" spans="1:34" ht="12.75" customHeight="1">
      <c r="A126" s="40">
        <f t="shared" si="30"/>
        <v>41</v>
      </c>
      <c r="B126" s="40">
        <f t="shared" si="31"/>
        <v>2</v>
      </c>
      <c r="C126" s="51" t="str">
        <f t="shared" si="32"/>
        <v>4102</v>
      </c>
      <c r="D126" s="30" t="s">
        <v>511</v>
      </c>
      <c r="E126" s="33">
        <v>2013</v>
      </c>
      <c r="F126" s="30" t="s">
        <v>512</v>
      </c>
      <c r="G126" s="30" t="s">
        <v>455</v>
      </c>
      <c r="H126" s="44" t="s">
        <v>515</v>
      </c>
      <c r="I126" s="40" t="s">
        <v>183</v>
      </c>
      <c r="J126" s="40" t="s">
        <v>151</v>
      </c>
      <c r="K126" s="49" t="s">
        <v>166</v>
      </c>
      <c r="L126" s="40">
        <v>4</v>
      </c>
      <c r="M126" s="40" t="s">
        <v>157</v>
      </c>
      <c r="N126" s="30" t="s">
        <v>167</v>
      </c>
      <c r="O126" s="30" t="s">
        <v>699</v>
      </c>
      <c r="P126" s="40">
        <v>2011</v>
      </c>
      <c r="Q126" s="30" t="s">
        <v>850</v>
      </c>
      <c r="R126" s="35">
        <v>6784</v>
      </c>
      <c r="S126" s="43">
        <v>6784</v>
      </c>
      <c r="T126" s="32">
        <f t="shared" si="16"/>
        <v>11420.55546</v>
      </c>
      <c r="U126" s="30" t="str">
        <f t="shared" si="17"/>
        <v>Cost-Effective</v>
      </c>
      <c r="V126" s="30" t="str">
        <f t="shared" si="18"/>
        <v>Cost-Effective</v>
      </c>
      <c r="W126" s="41">
        <f t="shared" si="19"/>
        <v>0.59401664163889978</v>
      </c>
      <c r="X126" s="55">
        <f t="shared" si="20"/>
        <v>1.43</v>
      </c>
      <c r="Y126" s="30" t="str">
        <f t="shared" si="21"/>
        <v>Cost-Effective</v>
      </c>
      <c r="Z126" s="55">
        <f t="shared" si="22"/>
        <v>0.82</v>
      </c>
      <c r="AA126" s="30" t="str">
        <f t="shared" si="28"/>
        <v>Cost-Effective</v>
      </c>
      <c r="AB126" s="55">
        <f t="shared" si="23"/>
        <v>0.54388575340378054</v>
      </c>
      <c r="AC126" s="30" t="str">
        <f t="shared" si="24"/>
        <v>Not Cost-Effective</v>
      </c>
      <c r="AD126" s="55">
        <f t="shared" si="25"/>
        <v>0.2338526413848058</v>
      </c>
      <c r="AE126" s="30" t="str">
        <f t="shared" si="29"/>
        <v>Not Cost-Effective</v>
      </c>
      <c r="AF126" s="30" t="s">
        <v>210</v>
      </c>
      <c r="AG126" s="30" t="s">
        <v>174</v>
      </c>
    </row>
    <row r="127" spans="1:34" ht="12.75" customHeight="1">
      <c r="A127" s="40">
        <f t="shared" si="30"/>
        <v>41</v>
      </c>
      <c r="B127" s="40">
        <f t="shared" si="31"/>
        <v>3</v>
      </c>
      <c r="C127" s="51" t="str">
        <f t="shared" si="32"/>
        <v>4103</v>
      </c>
      <c r="D127" s="30" t="s">
        <v>511</v>
      </c>
      <c r="E127" s="33">
        <v>2013</v>
      </c>
      <c r="F127" s="30" t="s">
        <v>512</v>
      </c>
      <c r="G127" s="30" t="s">
        <v>455</v>
      </c>
      <c r="H127" s="44" t="s">
        <v>517</v>
      </c>
      <c r="I127" s="40" t="s">
        <v>186</v>
      </c>
      <c r="J127" s="40" t="s">
        <v>151</v>
      </c>
      <c r="K127" s="49" t="s">
        <v>166</v>
      </c>
      <c r="L127" s="40">
        <v>4</v>
      </c>
      <c r="M127" s="40" t="s">
        <v>157</v>
      </c>
      <c r="N127" s="30" t="s">
        <v>167</v>
      </c>
      <c r="O127" s="30" t="s">
        <v>699</v>
      </c>
      <c r="P127" s="40">
        <v>2011</v>
      </c>
      <c r="Q127" s="30" t="s">
        <v>851</v>
      </c>
      <c r="R127" s="35">
        <v>6696</v>
      </c>
      <c r="S127" s="43">
        <v>6696</v>
      </c>
      <c r="T127" s="32">
        <f t="shared" si="16"/>
        <v>11420.55546</v>
      </c>
      <c r="U127" s="30" t="str">
        <f t="shared" si="17"/>
        <v>Cost-Effective</v>
      </c>
      <c r="V127" s="30" t="str">
        <f t="shared" si="18"/>
        <v>Cost-Effective</v>
      </c>
      <c r="W127" s="41">
        <f t="shared" si="19"/>
        <v>0.58631123708933863</v>
      </c>
      <c r="X127" s="55">
        <f t="shared" si="20"/>
        <v>1.43</v>
      </c>
      <c r="Y127" s="30" t="str">
        <f t="shared" si="21"/>
        <v>Cost-Effective</v>
      </c>
      <c r="Z127" s="55">
        <f t="shared" si="22"/>
        <v>0.82</v>
      </c>
      <c r="AA127" s="30" t="str">
        <f t="shared" si="28"/>
        <v>Cost-Effective</v>
      </c>
      <c r="AB127" s="55">
        <f t="shared" si="23"/>
        <v>0.54388575340378054</v>
      </c>
      <c r="AC127" s="30" t="str">
        <f t="shared" si="24"/>
        <v>Not Cost-Effective</v>
      </c>
      <c r="AD127" s="55">
        <f t="shared" si="25"/>
        <v>0.2338526413848058</v>
      </c>
      <c r="AE127" s="30" t="str">
        <f t="shared" si="29"/>
        <v>Not Cost-Effective</v>
      </c>
      <c r="AF127" s="30" t="s">
        <v>210</v>
      </c>
      <c r="AG127" s="30" t="s">
        <v>174</v>
      </c>
    </row>
    <row r="128" spans="1:34" ht="12.75" customHeight="1">
      <c r="A128" s="40">
        <f t="shared" si="30"/>
        <v>42</v>
      </c>
      <c r="B128" s="40">
        <f t="shared" si="31"/>
        <v>1</v>
      </c>
      <c r="C128" s="51" t="str">
        <f t="shared" si="32"/>
        <v>4201</v>
      </c>
      <c r="D128" s="30" t="s">
        <v>519</v>
      </c>
      <c r="E128" s="40">
        <v>2010</v>
      </c>
      <c r="F128" s="30" t="s">
        <v>520</v>
      </c>
      <c r="G128" s="30" t="s">
        <v>421</v>
      </c>
      <c r="H128" s="44" t="s">
        <v>828</v>
      </c>
      <c r="I128" s="40" t="s">
        <v>150</v>
      </c>
      <c r="J128" s="40" t="s">
        <v>151</v>
      </c>
      <c r="K128" s="49" t="s">
        <v>852</v>
      </c>
      <c r="L128" s="40">
        <v>3</v>
      </c>
      <c r="M128" s="40" t="s">
        <v>157</v>
      </c>
      <c r="N128" s="30" t="s">
        <v>167</v>
      </c>
      <c r="O128" s="30" t="s">
        <v>699</v>
      </c>
      <c r="P128" s="40">
        <v>2006</v>
      </c>
      <c r="Q128" s="30" t="s">
        <v>853</v>
      </c>
      <c r="R128" s="35">
        <v>752</v>
      </c>
      <c r="S128" s="43">
        <v>752</v>
      </c>
      <c r="T128" s="32">
        <f t="shared" ref="T128:T190" si="33">VLOOKUP(G128,gdppc,P128-1958,FALSE)</f>
        <v>3741.0928370000001</v>
      </c>
      <c r="U128" s="30" t="str">
        <f t="shared" ref="U128:U190" si="34">IF(S128&lt;T128,"Cost-Effective","Not Cost-Effective")</f>
        <v>Cost-Effective</v>
      </c>
      <c r="V128" s="30" t="str">
        <f t="shared" ref="V128:V190" si="35">IF(S128&lt;T128*3,"Cost-Effective","Not Cost-Effective")</f>
        <v>Cost-Effective</v>
      </c>
      <c r="W128" s="41">
        <f t="shared" ref="W128:W190" si="36">S128/T128</f>
        <v>0.20101078288210358</v>
      </c>
      <c r="X128" s="55">
        <f t="shared" ref="X128:X190" si="37">IFERROR(VLOOKUP(G128,ochalek,11,FALSE),0)</f>
        <v>1.89</v>
      </c>
      <c r="Y128" s="30" t="str">
        <f t="shared" ref="Y128:Y190" si="38">IF( W128&lt;X128, "Cost-Effective", IF( W128-X128=W128, "No Threshold", "Not Cost-Effective"))</f>
        <v>Cost-Effective</v>
      </c>
      <c r="Z128" s="55">
        <f t="shared" ref="Z128:Z190" si="39">IFERROR(VLOOKUP(G128,ochalek,10,FALSE),0)</f>
        <v>1.17</v>
      </c>
      <c r="AA128" s="30" t="str">
        <f t="shared" si="28"/>
        <v>Cost-Effective</v>
      </c>
      <c r="AB128" s="55">
        <f t="shared" ref="AB128:AB190" si="40">IFERROR(VLOOKUP(G128,woods,6,FALSE),0)</f>
        <v>0.67142448878179284</v>
      </c>
      <c r="AC128" s="30" t="str">
        <f t="shared" ref="AC128:AC190" si="41">IF( W128&lt;AB128, "Cost-Effective", IF( W128-AB128=W128, "No Threshold", "Not Cost-Effective"))</f>
        <v>Cost-Effective</v>
      </c>
      <c r="AD128" s="55">
        <f t="shared" ref="AD128:AD190" si="42">IFERROR(VLOOKUP(G128,woods,5,FALSE),0)</f>
        <v>0.16670017209696561</v>
      </c>
      <c r="AE128" s="30" t="str">
        <f t="shared" si="29"/>
        <v>Not Cost-Effective</v>
      </c>
      <c r="AF128" s="30" t="s">
        <v>210</v>
      </c>
      <c r="AG128" s="30" t="s">
        <v>174</v>
      </c>
    </row>
    <row r="129" spans="1:33" ht="12.75" customHeight="1">
      <c r="A129" s="40">
        <f t="shared" si="30"/>
        <v>43</v>
      </c>
      <c r="B129" s="40">
        <f t="shared" si="31"/>
        <v>1</v>
      </c>
      <c r="C129" s="51" t="str">
        <f t="shared" si="32"/>
        <v>4301</v>
      </c>
      <c r="D129" s="30" t="s">
        <v>522</v>
      </c>
      <c r="E129" s="40">
        <v>2013</v>
      </c>
      <c r="F129" s="30" t="s">
        <v>523</v>
      </c>
      <c r="G129" s="9" t="s">
        <v>365</v>
      </c>
      <c r="H129" s="44" t="s">
        <v>835</v>
      </c>
      <c r="I129" s="40" t="s">
        <v>183</v>
      </c>
      <c r="J129" s="40" t="s">
        <v>151</v>
      </c>
      <c r="K129" s="49" t="s">
        <v>198</v>
      </c>
      <c r="L129" s="40">
        <v>4</v>
      </c>
      <c r="M129" s="40" t="s">
        <v>157</v>
      </c>
      <c r="N129" s="30" t="s">
        <v>167</v>
      </c>
      <c r="O129" s="30" t="s">
        <v>699</v>
      </c>
      <c r="P129" s="40">
        <v>2009</v>
      </c>
      <c r="Q129" s="30" t="s">
        <v>854</v>
      </c>
      <c r="R129" s="31">
        <v>3347.53</v>
      </c>
      <c r="S129" s="43">
        <v>3347.53</v>
      </c>
      <c r="T129" s="32">
        <f t="shared" si="33"/>
        <v>8225.1375829999997</v>
      </c>
      <c r="U129" s="30" t="str">
        <f t="shared" si="34"/>
        <v>Cost-Effective</v>
      </c>
      <c r="V129" s="30" t="str">
        <f t="shared" si="35"/>
        <v>Cost-Effective</v>
      </c>
      <c r="W129" s="41">
        <f t="shared" si="36"/>
        <v>0.4069877210222953</v>
      </c>
      <c r="X129" s="55">
        <f t="shared" si="37"/>
        <v>0.56000000000000005</v>
      </c>
      <c r="Y129" s="30" t="str">
        <f t="shared" si="38"/>
        <v>Cost-Effective</v>
      </c>
      <c r="Z129" s="55">
        <f t="shared" si="39"/>
        <v>0.37</v>
      </c>
      <c r="AA129" s="30" t="str">
        <f t="shared" ref="AA129:AA190" si="43">IF( W129&lt;Z129, "Cost-Effective", IF( W129-Z129=W129, "No Threshold", "Not Cost-Effective"))</f>
        <v>Not Cost-Effective</v>
      </c>
      <c r="AB129" s="55">
        <f t="shared" si="40"/>
        <v>0</v>
      </c>
      <c r="AC129" s="30" t="str">
        <f t="shared" si="41"/>
        <v>No Threshold</v>
      </c>
      <c r="AD129" s="55">
        <f t="shared" si="42"/>
        <v>0</v>
      </c>
      <c r="AE129" s="30" t="str">
        <f t="shared" ref="AE129:AE190" si="44">IF( W129&lt;AD129, "Cost-Effective", IF( W129-AD129=W129, "No Threshold", "Not Cost-Effective"))</f>
        <v>No Threshold</v>
      </c>
      <c r="AF129" s="30" t="s">
        <v>173</v>
      </c>
      <c r="AG129" s="30" t="s">
        <v>174</v>
      </c>
    </row>
    <row r="130" spans="1:33" ht="12.75" customHeight="1">
      <c r="A130" s="40">
        <f t="shared" si="30"/>
        <v>43</v>
      </c>
      <c r="B130" s="40">
        <f t="shared" si="31"/>
        <v>2</v>
      </c>
      <c r="C130" s="51" t="str">
        <f t="shared" si="32"/>
        <v>4302</v>
      </c>
      <c r="D130" s="30" t="s">
        <v>522</v>
      </c>
      <c r="E130" s="40">
        <v>2013</v>
      </c>
      <c r="F130" s="30" t="s">
        <v>523</v>
      </c>
      <c r="G130" s="9" t="s">
        <v>365</v>
      </c>
      <c r="H130" s="44" t="s">
        <v>835</v>
      </c>
      <c r="I130" s="40" t="s">
        <v>183</v>
      </c>
      <c r="J130" s="40" t="s">
        <v>151</v>
      </c>
      <c r="K130" s="49" t="s">
        <v>198</v>
      </c>
      <c r="L130" s="40">
        <v>4</v>
      </c>
      <c r="M130" s="40" t="s">
        <v>157</v>
      </c>
      <c r="N130" s="30" t="s">
        <v>153</v>
      </c>
      <c r="O130" s="30" t="s">
        <v>699</v>
      </c>
      <c r="P130" s="40">
        <v>2009</v>
      </c>
      <c r="Q130" s="30" t="s">
        <v>855</v>
      </c>
      <c r="R130" s="31">
        <v>1509.59</v>
      </c>
      <c r="S130" s="43">
        <v>1509.59</v>
      </c>
      <c r="T130" s="32">
        <f t="shared" si="33"/>
        <v>8225.1375829999997</v>
      </c>
      <c r="U130" s="30" t="str">
        <f t="shared" si="34"/>
        <v>Cost-Effective</v>
      </c>
      <c r="V130" s="30" t="str">
        <f t="shared" si="35"/>
        <v>Cost-Effective</v>
      </c>
      <c r="W130" s="41">
        <f t="shared" si="36"/>
        <v>0.18353370807074074</v>
      </c>
      <c r="X130" s="55">
        <f t="shared" si="37"/>
        <v>0.56000000000000005</v>
      </c>
      <c r="Y130" s="30" t="str">
        <f t="shared" si="38"/>
        <v>Cost-Effective</v>
      </c>
      <c r="Z130" s="55">
        <f t="shared" si="39"/>
        <v>0.37</v>
      </c>
      <c r="AA130" s="30" t="str">
        <f t="shared" si="43"/>
        <v>Cost-Effective</v>
      </c>
      <c r="AB130" s="55">
        <f t="shared" si="40"/>
        <v>0</v>
      </c>
      <c r="AC130" s="30" t="str">
        <f t="shared" si="41"/>
        <v>No Threshold</v>
      </c>
      <c r="AD130" s="55">
        <f t="shared" si="42"/>
        <v>0</v>
      </c>
      <c r="AE130" s="30" t="str">
        <f t="shared" si="44"/>
        <v>No Threshold</v>
      </c>
      <c r="AF130" s="30" t="s">
        <v>173</v>
      </c>
      <c r="AG130" s="30" t="s">
        <v>174</v>
      </c>
    </row>
    <row r="131" spans="1:33" ht="12.75" customHeight="1">
      <c r="A131" s="40">
        <f t="shared" si="30"/>
        <v>43</v>
      </c>
      <c r="B131" s="40">
        <f t="shared" si="31"/>
        <v>3</v>
      </c>
      <c r="C131" s="51" t="str">
        <f t="shared" si="32"/>
        <v>4303</v>
      </c>
      <c r="D131" s="30" t="s">
        <v>522</v>
      </c>
      <c r="E131" s="40">
        <v>2013</v>
      </c>
      <c r="F131" s="30" t="s">
        <v>523</v>
      </c>
      <c r="G131" s="9" t="s">
        <v>365</v>
      </c>
      <c r="H131" s="44" t="s">
        <v>835</v>
      </c>
      <c r="I131" s="40" t="s">
        <v>183</v>
      </c>
      <c r="J131" s="40" t="s">
        <v>151</v>
      </c>
      <c r="K131" s="49" t="s">
        <v>198</v>
      </c>
      <c r="L131" s="40">
        <v>4</v>
      </c>
      <c r="M131" s="40" t="s">
        <v>148</v>
      </c>
      <c r="N131" s="30" t="s">
        <v>167</v>
      </c>
      <c r="O131" s="30" t="s">
        <v>699</v>
      </c>
      <c r="P131" s="40">
        <v>2009</v>
      </c>
      <c r="Q131" s="30" t="s">
        <v>856</v>
      </c>
      <c r="R131" s="31">
        <v>3295.13</v>
      </c>
      <c r="S131" s="43">
        <v>3295.13</v>
      </c>
      <c r="T131" s="32">
        <f t="shared" si="33"/>
        <v>8225.1375829999997</v>
      </c>
      <c r="U131" s="30" t="str">
        <f t="shared" si="34"/>
        <v>Cost-Effective</v>
      </c>
      <c r="V131" s="30" t="str">
        <f t="shared" si="35"/>
        <v>Cost-Effective</v>
      </c>
      <c r="W131" s="41">
        <f t="shared" si="36"/>
        <v>0.40061700691918994</v>
      </c>
      <c r="X131" s="55">
        <f t="shared" si="37"/>
        <v>0.56000000000000005</v>
      </c>
      <c r="Y131" s="30" t="str">
        <f t="shared" si="38"/>
        <v>Cost-Effective</v>
      </c>
      <c r="Z131" s="55">
        <f t="shared" si="39"/>
        <v>0.37</v>
      </c>
      <c r="AA131" s="30" t="str">
        <f t="shared" si="43"/>
        <v>Not Cost-Effective</v>
      </c>
      <c r="AB131" s="55">
        <f t="shared" si="40"/>
        <v>0</v>
      </c>
      <c r="AC131" s="30" t="str">
        <f t="shared" si="41"/>
        <v>No Threshold</v>
      </c>
      <c r="AD131" s="55">
        <f t="shared" si="42"/>
        <v>0</v>
      </c>
      <c r="AE131" s="30" t="str">
        <f t="shared" si="44"/>
        <v>No Threshold</v>
      </c>
      <c r="AF131" s="30" t="s">
        <v>173</v>
      </c>
      <c r="AG131" s="30" t="s">
        <v>174</v>
      </c>
    </row>
    <row r="132" spans="1:33" ht="12.75" customHeight="1">
      <c r="A132" s="40">
        <f t="shared" si="30"/>
        <v>43</v>
      </c>
      <c r="B132" s="40">
        <f t="shared" si="31"/>
        <v>4</v>
      </c>
      <c r="C132" s="51" t="str">
        <f t="shared" si="32"/>
        <v>4304</v>
      </c>
      <c r="D132" s="30" t="s">
        <v>522</v>
      </c>
      <c r="E132" s="40">
        <v>2013</v>
      </c>
      <c r="F132" s="30" t="s">
        <v>523</v>
      </c>
      <c r="G132" s="9" t="s">
        <v>365</v>
      </c>
      <c r="H132" s="44" t="s">
        <v>835</v>
      </c>
      <c r="I132" s="40" t="s">
        <v>183</v>
      </c>
      <c r="J132" s="40" t="s">
        <v>151</v>
      </c>
      <c r="K132" s="49" t="s">
        <v>198</v>
      </c>
      <c r="L132" s="40">
        <v>4</v>
      </c>
      <c r="M132" s="40" t="s">
        <v>148</v>
      </c>
      <c r="N132" s="30" t="s">
        <v>153</v>
      </c>
      <c r="O132" s="30" t="s">
        <v>699</v>
      </c>
      <c r="P132" s="40">
        <v>2009</v>
      </c>
      <c r="Q132" s="30" t="s">
        <v>857</v>
      </c>
      <c r="R132" s="31">
        <v>1454.51</v>
      </c>
      <c r="S132" s="43">
        <v>1454.51</v>
      </c>
      <c r="T132" s="32">
        <f t="shared" si="33"/>
        <v>8225.1375829999997</v>
      </c>
      <c r="U132" s="30" t="str">
        <f t="shared" si="34"/>
        <v>Cost-Effective</v>
      </c>
      <c r="V132" s="30" t="str">
        <f t="shared" si="35"/>
        <v>Cost-Effective</v>
      </c>
      <c r="W132" s="41">
        <f t="shared" si="36"/>
        <v>0.17683716355167503</v>
      </c>
      <c r="X132" s="55">
        <f t="shared" si="37"/>
        <v>0.56000000000000005</v>
      </c>
      <c r="Y132" s="30" t="str">
        <f t="shared" si="38"/>
        <v>Cost-Effective</v>
      </c>
      <c r="Z132" s="55">
        <f t="shared" si="39"/>
        <v>0.37</v>
      </c>
      <c r="AA132" s="30" t="str">
        <f t="shared" si="43"/>
        <v>Cost-Effective</v>
      </c>
      <c r="AB132" s="55">
        <f t="shared" si="40"/>
        <v>0</v>
      </c>
      <c r="AC132" s="30" t="str">
        <f t="shared" si="41"/>
        <v>No Threshold</v>
      </c>
      <c r="AD132" s="55">
        <f t="shared" si="42"/>
        <v>0</v>
      </c>
      <c r="AE132" s="30" t="str">
        <f t="shared" si="44"/>
        <v>No Threshold</v>
      </c>
      <c r="AF132" s="30" t="s">
        <v>173</v>
      </c>
      <c r="AG132" s="30" t="s">
        <v>174</v>
      </c>
    </row>
    <row r="133" spans="1:33" ht="12.75" customHeight="1">
      <c r="A133" s="40">
        <f t="shared" si="30"/>
        <v>43</v>
      </c>
      <c r="B133" s="40">
        <f t="shared" si="31"/>
        <v>5</v>
      </c>
      <c r="C133" s="51" t="str">
        <f t="shared" si="32"/>
        <v>4305</v>
      </c>
      <c r="D133" s="30" t="s">
        <v>522</v>
      </c>
      <c r="E133" s="40">
        <v>2013</v>
      </c>
      <c r="F133" s="30" t="s">
        <v>523</v>
      </c>
      <c r="G133" s="9" t="s">
        <v>330</v>
      </c>
      <c r="H133" s="44" t="s">
        <v>835</v>
      </c>
      <c r="I133" s="40" t="s">
        <v>183</v>
      </c>
      <c r="J133" s="40" t="s">
        <v>151</v>
      </c>
      <c r="K133" s="49" t="s">
        <v>198</v>
      </c>
      <c r="L133" s="40">
        <v>4</v>
      </c>
      <c r="M133" s="40" t="s">
        <v>157</v>
      </c>
      <c r="N133" s="30" t="s">
        <v>167</v>
      </c>
      <c r="O133" s="30" t="s">
        <v>699</v>
      </c>
      <c r="P133" s="40">
        <v>2008</v>
      </c>
      <c r="Q133" s="30" t="s">
        <v>858</v>
      </c>
      <c r="R133" s="31">
        <v>7088.64</v>
      </c>
      <c r="S133" s="43">
        <v>7088.64</v>
      </c>
      <c r="T133" s="32">
        <f t="shared" si="33"/>
        <v>8831.1836430000003</v>
      </c>
      <c r="U133" s="30" t="str">
        <f t="shared" si="34"/>
        <v>Cost-Effective</v>
      </c>
      <c r="V133" s="30" t="str">
        <f t="shared" si="35"/>
        <v>Cost-Effective</v>
      </c>
      <c r="W133" s="41">
        <f t="shared" si="36"/>
        <v>0.80268288901666995</v>
      </c>
      <c r="X133" s="55">
        <f t="shared" si="37"/>
        <v>1.0900000000000001</v>
      </c>
      <c r="Y133" s="30" t="str">
        <f t="shared" si="38"/>
        <v>Cost-Effective</v>
      </c>
      <c r="Z133" s="55">
        <f t="shared" si="39"/>
        <v>0.71</v>
      </c>
      <c r="AA133" s="30" t="str">
        <f t="shared" si="43"/>
        <v>Not Cost-Effective</v>
      </c>
      <c r="AB133" s="55">
        <f t="shared" si="40"/>
        <v>0.61331405073457201</v>
      </c>
      <c r="AC133" s="30" t="str">
        <f t="shared" si="41"/>
        <v>Not Cost-Effective</v>
      </c>
      <c r="AD133" s="55">
        <f t="shared" si="42"/>
        <v>0.19454672897770822</v>
      </c>
      <c r="AE133" s="30" t="str">
        <f t="shared" si="44"/>
        <v>Not Cost-Effective</v>
      </c>
      <c r="AF133" s="30" t="s">
        <v>173</v>
      </c>
      <c r="AG133" s="30" t="s">
        <v>174</v>
      </c>
    </row>
    <row r="134" spans="1:33" ht="12.75" customHeight="1">
      <c r="A134" s="40">
        <f t="shared" si="30"/>
        <v>43</v>
      </c>
      <c r="B134" s="40">
        <f t="shared" si="31"/>
        <v>6</v>
      </c>
      <c r="C134" s="51" t="str">
        <f t="shared" si="32"/>
        <v>4306</v>
      </c>
      <c r="D134" s="30" t="s">
        <v>522</v>
      </c>
      <c r="E134" s="40">
        <v>2013</v>
      </c>
      <c r="F134" s="30" t="s">
        <v>523</v>
      </c>
      <c r="G134" s="9" t="s">
        <v>330</v>
      </c>
      <c r="H134" s="44" t="s">
        <v>835</v>
      </c>
      <c r="I134" s="40" t="s">
        <v>183</v>
      </c>
      <c r="J134" s="40" t="s">
        <v>151</v>
      </c>
      <c r="K134" s="49" t="s">
        <v>198</v>
      </c>
      <c r="L134" s="40">
        <v>4</v>
      </c>
      <c r="M134" s="40" t="s">
        <v>157</v>
      </c>
      <c r="N134" s="30" t="s">
        <v>153</v>
      </c>
      <c r="O134" s="30" t="s">
        <v>699</v>
      </c>
      <c r="P134" s="40">
        <v>2008</v>
      </c>
      <c r="Q134" s="30" t="s">
        <v>859</v>
      </c>
      <c r="R134" s="31">
        <v>4810.99</v>
      </c>
      <c r="S134" s="43">
        <v>4810.99</v>
      </c>
      <c r="T134" s="32">
        <f t="shared" si="33"/>
        <v>8831.1836430000003</v>
      </c>
      <c r="U134" s="30" t="str">
        <f t="shared" si="34"/>
        <v>Cost-Effective</v>
      </c>
      <c r="V134" s="30" t="str">
        <f t="shared" si="35"/>
        <v>Cost-Effective</v>
      </c>
      <c r="W134" s="41">
        <f t="shared" si="36"/>
        <v>0.54477295394184333</v>
      </c>
      <c r="X134" s="55">
        <f t="shared" si="37"/>
        <v>1.0900000000000001</v>
      </c>
      <c r="Y134" s="30" t="str">
        <f t="shared" si="38"/>
        <v>Cost-Effective</v>
      </c>
      <c r="Z134" s="55">
        <f t="shared" si="39"/>
        <v>0.71</v>
      </c>
      <c r="AA134" s="30" t="str">
        <f t="shared" si="43"/>
        <v>Cost-Effective</v>
      </c>
      <c r="AB134" s="55">
        <f t="shared" si="40"/>
        <v>0.61331405073457201</v>
      </c>
      <c r="AC134" s="30" t="str">
        <f t="shared" si="41"/>
        <v>Cost-Effective</v>
      </c>
      <c r="AD134" s="55">
        <f t="shared" si="42"/>
        <v>0.19454672897770822</v>
      </c>
      <c r="AE134" s="30" t="str">
        <f t="shared" si="44"/>
        <v>Not Cost-Effective</v>
      </c>
      <c r="AF134" s="30" t="s">
        <v>173</v>
      </c>
      <c r="AG134" s="30" t="s">
        <v>174</v>
      </c>
    </row>
    <row r="135" spans="1:33" ht="12.75" customHeight="1">
      <c r="A135" s="40">
        <f t="shared" si="30"/>
        <v>43</v>
      </c>
      <c r="B135" s="40">
        <f t="shared" si="31"/>
        <v>7</v>
      </c>
      <c r="C135" s="51" t="str">
        <f t="shared" si="32"/>
        <v>4307</v>
      </c>
      <c r="D135" s="30" t="s">
        <v>522</v>
      </c>
      <c r="E135" s="40">
        <v>2013</v>
      </c>
      <c r="F135" s="30" t="s">
        <v>523</v>
      </c>
      <c r="G135" s="9" t="s">
        <v>330</v>
      </c>
      <c r="H135" s="44" t="s">
        <v>835</v>
      </c>
      <c r="I135" s="40" t="s">
        <v>183</v>
      </c>
      <c r="J135" s="40" t="s">
        <v>151</v>
      </c>
      <c r="K135" s="49" t="s">
        <v>198</v>
      </c>
      <c r="L135" s="40">
        <v>4</v>
      </c>
      <c r="M135" s="40" t="s">
        <v>148</v>
      </c>
      <c r="N135" s="30" t="s">
        <v>167</v>
      </c>
      <c r="O135" s="30" t="s">
        <v>699</v>
      </c>
      <c r="P135" s="40">
        <v>2008</v>
      </c>
      <c r="Q135" s="30" t="s">
        <v>860</v>
      </c>
      <c r="R135" s="31">
        <v>6293.05</v>
      </c>
      <c r="S135" s="43">
        <v>6293.05</v>
      </c>
      <c r="T135" s="32">
        <f t="shared" si="33"/>
        <v>8831.1836430000003</v>
      </c>
      <c r="U135" s="30" t="str">
        <f t="shared" si="34"/>
        <v>Cost-Effective</v>
      </c>
      <c r="V135" s="30" t="str">
        <f t="shared" si="35"/>
        <v>Cost-Effective</v>
      </c>
      <c r="W135" s="41">
        <f t="shared" si="36"/>
        <v>0.71259417246839374</v>
      </c>
      <c r="X135" s="55">
        <f t="shared" si="37"/>
        <v>1.0900000000000001</v>
      </c>
      <c r="Y135" s="30" t="str">
        <f t="shared" si="38"/>
        <v>Cost-Effective</v>
      </c>
      <c r="Z135" s="55">
        <f t="shared" si="39"/>
        <v>0.71</v>
      </c>
      <c r="AA135" s="30" t="str">
        <f t="shared" si="43"/>
        <v>Not Cost-Effective</v>
      </c>
      <c r="AB135" s="55">
        <f t="shared" si="40"/>
        <v>0.61331405073457201</v>
      </c>
      <c r="AC135" s="30" t="str">
        <f t="shared" si="41"/>
        <v>Not Cost-Effective</v>
      </c>
      <c r="AD135" s="55">
        <f t="shared" si="42"/>
        <v>0.19454672897770822</v>
      </c>
      <c r="AE135" s="30" t="str">
        <f t="shared" si="44"/>
        <v>Not Cost-Effective</v>
      </c>
      <c r="AF135" s="30" t="s">
        <v>173</v>
      </c>
      <c r="AG135" s="30" t="s">
        <v>174</v>
      </c>
    </row>
    <row r="136" spans="1:33" ht="12.75" customHeight="1">
      <c r="A136" s="40">
        <f t="shared" si="30"/>
        <v>43</v>
      </c>
      <c r="B136" s="40">
        <f t="shared" si="31"/>
        <v>8</v>
      </c>
      <c r="C136" s="51" t="str">
        <f t="shared" si="32"/>
        <v>4308</v>
      </c>
      <c r="D136" s="30" t="s">
        <v>522</v>
      </c>
      <c r="E136" s="40">
        <v>2013</v>
      </c>
      <c r="F136" s="30" t="s">
        <v>523</v>
      </c>
      <c r="G136" s="9" t="s">
        <v>330</v>
      </c>
      <c r="H136" s="44" t="s">
        <v>835</v>
      </c>
      <c r="I136" s="40" t="s">
        <v>183</v>
      </c>
      <c r="J136" s="40" t="s">
        <v>151</v>
      </c>
      <c r="K136" s="49" t="s">
        <v>198</v>
      </c>
      <c r="L136" s="40">
        <v>4</v>
      </c>
      <c r="M136" s="40" t="s">
        <v>148</v>
      </c>
      <c r="N136" s="30" t="s">
        <v>153</v>
      </c>
      <c r="O136" s="30" t="s">
        <v>699</v>
      </c>
      <c r="P136" s="40">
        <v>2008</v>
      </c>
      <c r="Q136" s="30" t="s">
        <v>861</v>
      </c>
      <c r="R136" s="31">
        <v>4024.69</v>
      </c>
      <c r="S136" s="43">
        <v>4024.69</v>
      </c>
      <c r="T136" s="32">
        <f t="shared" si="33"/>
        <v>8831.1836430000003</v>
      </c>
      <c r="U136" s="30" t="str">
        <f t="shared" si="34"/>
        <v>Cost-Effective</v>
      </c>
      <c r="V136" s="30" t="str">
        <f t="shared" si="35"/>
        <v>Cost-Effective</v>
      </c>
      <c r="W136" s="41">
        <f t="shared" si="36"/>
        <v>0.45573619151155953</v>
      </c>
      <c r="X136" s="55">
        <f t="shared" si="37"/>
        <v>1.0900000000000001</v>
      </c>
      <c r="Y136" s="30" t="str">
        <f t="shared" si="38"/>
        <v>Cost-Effective</v>
      </c>
      <c r="Z136" s="55">
        <f t="shared" si="39"/>
        <v>0.71</v>
      </c>
      <c r="AA136" s="30" t="str">
        <f t="shared" si="43"/>
        <v>Cost-Effective</v>
      </c>
      <c r="AB136" s="55">
        <f t="shared" si="40"/>
        <v>0.61331405073457201</v>
      </c>
      <c r="AC136" s="30" t="str">
        <f t="shared" si="41"/>
        <v>Cost-Effective</v>
      </c>
      <c r="AD136" s="55">
        <f t="shared" si="42"/>
        <v>0.19454672897770822</v>
      </c>
      <c r="AE136" s="30" t="str">
        <f t="shared" si="44"/>
        <v>Not Cost-Effective</v>
      </c>
      <c r="AF136" s="30" t="s">
        <v>173</v>
      </c>
      <c r="AG136" s="30" t="s">
        <v>174</v>
      </c>
    </row>
    <row r="137" spans="1:33" ht="12.75" customHeight="1">
      <c r="A137" s="40">
        <f t="shared" si="30"/>
        <v>43</v>
      </c>
      <c r="B137" s="40">
        <f t="shared" si="31"/>
        <v>9</v>
      </c>
      <c r="C137" s="51" t="str">
        <f t="shared" si="32"/>
        <v>4309</v>
      </c>
      <c r="D137" s="30" t="s">
        <v>522</v>
      </c>
      <c r="E137" s="40">
        <v>2013</v>
      </c>
      <c r="F137" s="30" t="s">
        <v>523</v>
      </c>
      <c r="G137" s="9" t="s">
        <v>421</v>
      </c>
      <c r="H137" s="44" t="s">
        <v>835</v>
      </c>
      <c r="I137" s="40" t="s">
        <v>183</v>
      </c>
      <c r="J137" s="40" t="s">
        <v>151</v>
      </c>
      <c r="K137" s="49" t="s">
        <v>198</v>
      </c>
      <c r="L137" s="40">
        <v>4</v>
      </c>
      <c r="M137" s="40" t="s">
        <v>157</v>
      </c>
      <c r="N137" s="30" t="s">
        <v>167</v>
      </c>
      <c r="O137" s="30" t="s">
        <v>699</v>
      </c>
      <c r="P137" s="40">
        <v>2008</v>
      </c>
      <c r="Q137" s="30" t="s">
        <v>862</v>
      </c>
      <c r="R137" s="31">
        <v>4021.37</v>
      </c>
      <c r="S137" s="43">
        <v>4021.37</v>
      </c>
      <c r="T137" s="32">
        <f t="shared" si="33"/>
        <v>5472.5365300000003</v>
      </c>
      <c r="U137" s="30" t="str">
        <f t="shared" si="34"/>
        <v>Cost-Effective</v>
      </c>
      <c r="V137" s="30" t="str">
        <f t="shared" si="35"/>
        <v>Cost-Effective</v>
      </c>
      <c r="W137" s="41">
        <f t="shared" si="36"/>
        <v>0.73482743842004095</v>
      </c>
      <c r="X137" s="55">
        <f t="shared" si="37"/>
        <v>1.89</v>
      </c>
      <c r="Y137" s="30" t="str">
        <f t="shared" si="38"/>
        <v>Cost-Effective</v>
      </c>
      <c r="Z137" s="55">
        <f t="shared" si="39"/>
        <v>1.17</v>
      </c>
      <c r="AA137" s="30" t="str">
        <f t="shared" si="43"/>
        <v>Cost-Effective</v>
      </c>
      <c r="AB137" s="55">
        <f t="shared" si="40"/>
        <v>0.67142448878179284</v>
      </c>
      <c r="AC137" s="30" t="str">
        <f t="shared" si="41"/>
        <v>Not Cost-Effective</v>
      </c>
      <c r="AD137" s="55">
        <f t="shared" si="42"/>
        <v>0.16670017209696561</v>
      </c>
      <c r="AE137" s="30" t="str">
        <f t="shared" si="44"/>
        <v>Not Cost-Effective</v>
      </c>
      <c r="AF137" s="30" t="s">
        <v>173</v>
      </c>
      <c r="AG137" s="30" t="s">
        <v>174</v>
      </c>
    </row>
    <row r="138" spans="1:33" ht="12.75" customHeight="1">
      <c r="A138" s="40">
        <f t="shared" si="30"/>
        <v>43</v>
      </c>
      <c r="B138" s="40">
        <f t="shared" si="31"/>
        <v>10</v>
      </c>
      <c r="C138" s="51" t="str">
        <f t="shared" si="32"/>
        <v>4310</v>
      </c>
      <c r="D138" s="30" t="s">
        <v>522</v>
      </c>
      <c r="E138" s="40">
        <v>2013</v>
      </c>
      <c r="F138" s="30" t="s">
        <v>523</v>
      </c>
      <c r="G138" s="9" t="s">
        <v>421</v>
      </c>
      <c r="H138" s="44" t="s">
        <v>835</v>
      </c>
      <c r="I138" s="40" t="s">
        <v>183</v>
      </c>
      <c r="J138" s="40" t="s">
        <v>151</v>
      </c>
      <c r="K138" s="49" t="s">
        <v>198</v>
      </c>
      <c r="L138" s="40">
        <v>4</v>
      </c>
      <c r="M138" s="40" t="s">
        <v>157</v>
      </c>
      <c r="N138" s="30" t="s">
        <v>153</v>
      </c>
      <c r="O138" s="30" t="s">
        <v>699</v>
      </c>
      <c r="P138" s="40">
        <v>2008</v>
      </c>
      <c r="Q138" s="30" t="s">
        <v>863</v>
      </c>
      <c r="R138" s="31">
        <v>2433.3200000000002</v>
      </c>
      <c r="S138" s="43">
        <v>2433.3200000000002</v>
      </c>
      <c r="T138" s="32">
        <f t="shared" si="33"/>
        <v>5472.5365300000003</v>
      </c>
      <c r="U138" s="30" t="str">
        <f t="shared" si="34"/>
        <v>Cost-Effective</v>
      </c>
      <c r="V138" s="30" t="str">
        <f t="shared" si="35"/>
        <v>Cost-Effective</v>
      </c>
      <c r="W138" s="41">
        <f t="shared" si="36"/>
        <v>0.44464207532663103</v>
      </c>
      <c r="X138" s="55">
        <f t="shared" si="37"/>
        <v>1.89</v>
      </c>
      <c r="Y138" s="30" t="str">
        <f t="shared" si="38"/>
        <v>Cost-Effective</v>
      </c>
      <c r="Z138" s="55">
        <f t="shared" si="39"/>
        <v>1.17</v>
      </c>
      <c r="AA138" s="30" t="str">
        <f t="shared" si="43"/>
        <v>Cost-Effective</v>
      </c>
      <c r="AB138" s="55">
        <f t="shared" si="40"/>
        <v>0.67142448878179284</v>
      </c>
      <c r="AC138" s="30" t="str">
        <f t="shared" si="41"/>
        <v>Cost-Effective</v>
      </c>
      <c r="AD138" s="55">
        <f t="shared" si="42"/>
        <v>0.16670017209696561</v>
      </c>
      <c r="AE138" s="30" t="str">
        <f t="shared" si="44"/>
        <v>Not Cost-Effective</v>
      </c>
      <c r="AF138" s="30" t="s">
        <v>173</v>
      </c>
      <c r="AG138" s="30" t="s">
        <v>174</v>
      </c>
    </row>
    <row r="139" spans="1:33" ht="12.75" customHeight="1">
      <c r="A139" s="40">
        <f t="shared" si="30"/>
        <v>43</v>
      </c>
      <c r="B139" s="40">
        <f t="shared" si="31"/>
        <v>11</v>
      </c>
      <c r="C139" s="51" t="str">
        <f t="shared" si="32"/>
        <v>4311</v>
      </c>
      <c r="D139" s="30" t="s">
        <v>522</v>
      </c>
      <c r="E139" s="40">
        <v>2013</v>
      </c>
      <c r="F139" s="30" t="s">
        <v>523</v>
      </c>
      <c r="G139" s="9" t="s">
        <v>421</v>
      </c>
      <c r="H139" s="44" t="s">
        <v>835</v>
      </c>
      <c r="I139" s="40" t="s">
        <v>183</v>
      </c>
      <c r="J139" s="40" t="s">
        <v>151</v>
      </c>
      <c r="K139" s="49" t="s">
        <v>198</v>
      </c>
      <c r="L139" s="40">
        <v>4</v>
      </c>
      <c r="M139" s="40" t="s">
        <v>148</v>
      </c>
      <c r="N139" s="30" t="s">
        <v>167</v>
      </c>
      <c r="O139" s="30" t="s">
        <v>699</v>
      </c>
      <c r="P139" s="40">
        <v>2008</v>
      </c>
      <c r="Q139" s="30" t="s">
        <v>864</v>
      </c>
      <c r="R139" s="31">
        <v>3885.8</v>
      </c>
      <c r="S139" s="43">
        <v>3885.8</v>
      </c>
      <c r="T139" s="32">
        <f t="shared" si="33"/>
        <v>5472.5365300000003</v>
      </c>
      <c r="U139" s="30" t="str">
        <f t="shared" si="34"/>
        <v>Cost-Effective</v>
      </c>
      <c r="V139" s="30" t="str">
        <f t="shared" si="35"/>
        <v>Cost-Effective</v>
      </c>
      <c r="W139" s="41">
        <f t="shared" si="36"/>
        <v>0.71005464809569763</v>
      </c>
      <c r="X139" s="55">
        <f t="shared" si="37"/>
        <v>1.89</v>
      </c>
      <c r="Y139" s="30" t="str">
        <f t="shared" si="38"/>
        <v>Cost-Effective</v>
      </c>
      <c r="Z139" s="55">
        <f t="shared" si="39"/>
        <v>1.17</v>
      </c>
      <c r="AA139" s="30" t="str">
        <f t="shared" si="43"/>
        <v>Cost-Effective</v>
      </c>
      <c r="AB139" s="55">
        <f t="shared" si="40"/>
        <v>0.67142448878179284</v>
      </c>
      <c r="AC139" s="30" t="str">
        <f t="shared" si="41"/>
        <v>Not Cost-Effective</v>
      </c>
      <c r="AD139" s="55">
        <f t="shared" si="42"/>
        <v>0.16670017209696561</v>
      </c>
      <c r="AE139" s="30" t="str">
        <f t="shared" si="44"/>
        <v>Not Cost-Effective</v>
      </c>
      <c r="AF139" s="30" t="s">
        <v>173</v>
      </c>
      <c r="AG139" s="30" t="s">
        <v>174</v>
      </c>
    </row>
    <row r="140" spans="1:33" ht="12.75" customHeight="1">
      <c r="A140" s="40">
        <f t="shared" si="30"/>
        <v>43</v>
      </c>
      <c r="B140" s="40">
        <f t="shared" si="31"/>
        <v>12</v>
      </c>
      <c r="C140" s="51" t="str">
        <f t="shared" si="32"/>
        <v>4312</v>
      </c>
      <c r="D140" s="30" t="s">
        <v>522</v>
      </c>
      <c r="E140" s="40">
        <v>2013</v>
      </c>
      <c r="F140" s="30" t="s">
        <v>523</v>
      </c>
      <c r="G140" s="9" t="s">
        <v>421</v>
      </c>
      <c r="H140" s="44" t="s">
        <v>835</v>
      </c>
      <c r="I140" s="40" t="s">
        <v>183</v>
      </c>
      <c r="J140" s="40" t="s">
        <v>151</v>
      </c>
      <c r="K140" s="49" t="s">
        <v>198</v>
      </c>
      <c r="L140" s="40">
        <v>4</v>
      </c>
      <c r="M140" s="40" t="s">
        <v>148</v>
      </c>
      <c r="N140" s="30" t="s">
        <v>153</v>
      </c>
      <c r="O140" s="30" t="s">
        <v>699</v>
      </c>
      <c r="P140" s="40">
        <v>2008</v>
      </c>
      <c r="Q140" s="30" t="s">
        <v>865</v>
      </c>
      <c r="R140" s="31">
        <v>2295.77</v>
      </c>
      <c r="S140" s="43">
        <v>2295.77</v>
      </c>
      <c r="T140" s="32">
        <f t="shared" si="33"/>
        <v>5472.5365300000003</v>
      </c>
      <c r="U140" s="30" t="str">
        <f t="shared" si="34"/>
        <v>Cost-Effective</v>
      </c>
      <c r="V140" s="30" t="str">
        <f t="shared" si="35"/>
        <v>Cost-Effective</v>
      </c>
      <c r="W140" s="41">
        <f t="shared" si="36"/>
        <v>0.41950747837219093</v>
      </c>
      <c r="X140" s="55">
        <f t="shared" si="37"/>
        <v>1.89</v>
      </c>
      <c r="Y140" s="30" t="str">
        <f t="shared" si="38"/>
        <v>Cost-Effective</v>
      </c>
      <c r="Z140" s="55">
        <f t="shared" si="39"/>
        <v>1.17</v>
      </c>
      <c r="AA140" s="30" t="str">
        <f t="shared" si="43"/>
        <v>Cost-Effective</v>
      </c>
      <c r="AB140" s="55">
        <f t="shared" si="40"/>
        <v>0.67142448878179284</v>
      </c>
      <c r="AC140" s="30" t="str">
        <f t="shared" si="41"/>
        <v>Cost-Effective</v>
      </c>
      <c r="AD140" s="55">
        <f t="shared" si="42"/>
        <v>0.16670017209696561</v>
      </c>
      <c r="AE140" s="30" t="str">
        <f t="shared" si="44"/>
        <v>Not Cost-Effective</v>
      </c>
      <c r="AF140" s="30" t="s">
        <v>173</v>
      </c>
      <c r="AG140" s="30" t="s">
        <v>174</v>
      </c>
    </row>
    <row r="141" spans="1:33" ht="12.75" customHeight="1">
      <c r="A141" s="40">
        <f t="shared" si="30"/>
        <v>43</v>
      </c>
      <c r="B141" s="40">
        <f t="shared" si="31"/>
        <v>13</v>
      </c>
      <c r="C141" s="51" t="str">
        <f t="shared" si="32"/>
        <v>4313</v>
      </c>
      <c r="D141" s="30" t="s">
        <v>522</v>
      </c>
      <c r="E141" s="40">
        <v>2013</v>
      </c>
      <c r="F141" s="30" t="s">
        <v>523</v>
      </c>
      <c r="G141" s="9" t="s">
        <v>537</v>
      </c>
      <c r="H141" s="44" t="s">
        <v>835</v>
      </c>
      <c r="I141" s="40" t="s">
        <v>183</v>
      </c>
      <c r="J141" s="40" t="s">
        <v>151</v>
      </c>
      <c r="K141" s="49" t="s">
        <v>198</v>
      </c>
      <c r="L141" s="40">
        <v>4</v>
      </c>
      <c r="M141" s="40" t="s">
        <v>157</v>
      </c>
      <c r="N141" s="30" t="s">
        <v>167</v>
      </c>
      <c r="O141" s="30" t="s">
        <v>699</v>
      </c>
      <c r="P141" s="40">
        <v>2008</v>
      </c>
      <c r="Q141" s="30" t="s">
        <v>866</v>
      </c>
      <c r="R141" s="31">
        <v>4594.33</v>
      </c>
      <c r="S141" s="43">
        <v>4594.33</v>
      </c>
      <c r="T141" s="32">
        <f t="shared" si="33"/>
        <v>10016.57121</v>
      </c>
      <c r="U141" s="30" t="str">
        <f t="shared" si="34"/>
        <v>Cost-Effective</v>
      </c>
      <c r="V141" s="30" t="str">
        <f t="shared" si="35"/>
        <v>Cost-Effective</v>
      </c>
      <c r="W141" s="41">
        <f t="shared" si="36"/>
        <v>0.45867292346639243</v>
      </c>
      <c r="X141" s="55">
        <f t="shared" si="37"/>
        <v>0.97</v>
      </c>
      <c r="Y141" s="30" t="str">
        <f t="shared" si="38"/>
        <v>Cost-Effective</v>
      </c>
      <c r="Z141" s="55">
        <f t="shared" si="39"/>
        <v>0.64</v>
      </c>
      <c r="AA141" s="30" t="str">
        <f t="shared" si="43"/>
        <v>Cost-Effective</v>
      </c>
      <c r="AB141" s="55">
        <f t="shared" si="40"/>
        <v>0.6292666176774443</v>
      </c>
      <c r="AC141" s="30" t="str">
        <f t="shared" si="41"/>
        <v>Cost-Effective</v>
      </c>
      <c r="AD141" s="55">
        <f t="shared" si="42"/>
        <v>0.22470477827865473</v>
      </c>
      <c r="AE141" s="30" t="str">
        <f t="shared" si="44"/>
        <v>Not Cost-Effective</v>
      </c>
      <c r="AF141" s="30" t="s">
        <v>173</v>
      </c>
      <c r="AG141" s="30" t="s">
        <v>174</v>
      </c>
    </row>
    <row r="142" spans="1:33" ht="12.75" customHeight="1">
      <c r="A142" s="40">
        <f t="shared" si="30"/>
        <v>43</v>
      </c>
      <c r="B142" s="40">
        <f t="shared" si="31"/>
        <v>14</v>
      </c>
      <c r="C142" s="51" t="str">
        <f t="shared" si="32"/>
        <v>4314</v>
      </c>
      <c r="D142" s="30" t="s">
        <v>522</v>
      </c>
      <c r="E142" s="40">
        <v>2013</v>
      </c>
      <c r="F142" s="30" t="s">
        <v>523</v>
      </c>
      <c r="G142" s="9" t="s">
        <v>537</v>
      </c>
      <c r="H142" s="44" t="s">
        <v>835</v>
      </c>
      <c r="I142" s="40" t="s">
        <v>183</v>
      </c>
      <c r="J142" s="40" t="s">
        <v>151</v>
      </c>
      <c r="K142" s="49" t="s">
        <v>198</v>
      </c>
      <c r="L142" s="40">
        <v>4</v>
      </c>
      <c r="M142" s="40" t="s">
        <v>157</v>
      </c>
      <c r="N142" s="30" t="s">
        <v>153</v>
      </c>
      <c r="O142" s="30" t="s">
        <v>699</v>
      </c>
      <c r="P142" s="40">
        <v>2008</v>
      </c>
      <c r="Q142" s="30" t="s">
        <v>867</v>
      </c>
      <c r="R142" s="31">
        <v>3243.41</v>
      </c>
      <c r="S142" s="43">
        <v>3243.41</v>
      </c>
      <c r="T142" s="32">
        <f t="shared" si="33"/>
        <v>10016.57121</v>
      </c>
      <c r="U142" s="30" t="str">
        <f t="shared" si="34"/>
        <v>Cost-Effective</v>
      </c>
      <c r="V142" s="30" t="str">
        <f t="shared" si="35"/>
        <v>Cost-Effective</v>
      </c>
      <c r="W142" s="41">
        <f t="shared" si="36"/>
        <v>0.32380441690086081</v>
      </c>
      <c r="X142" s="55">
        <f t="shared" si="37"/>
        <v>0.97</v>
      </c>
      <c r="Y142" s="30" t="str">
        <f t="shared" si="38"/>
        <v>Cost-Effective</v>
      </c>
      <c r="Z142" s="55">
        <f t="shared" si="39"/>
        <v>0.64</v>
      </c>
      <c r="AA142" s="30" t="str">
        <f t="shared" si="43"/>
        <v>Cost-Effective</v>
      </c>
      <c r="AB142" s="55">
        <f t="shared" si="40"/>
        <v>0.6292666176774443</v>
      </c>
      <c r="AC142" s="30" t="str">
        <f t="shared" si="41"/>
        <v>Cost-Effective</v>
      </c>
      <c r="AD142" s="55">
        <f t="shared" si="42"/>
        <v>0.22470477827865473</v>
      </c>
      <c r="AE142" s="30" t="str">
        <f t="shared" si="44"/>
        <v>Not Cost-Effective</v>
      </c>
      <c r="AF142" s="30" t="s">
        <v>173</v>
      </c>
      <c r="AG142" s="30" t="s">
        <v>174</v>
      </c>
    </row>
    <row r="143" spans="1:33" ht="12.75" customHeight="1">
      <c r="A143" s="40">
        <f t="shared" si="30"/>
        <v>43</v>
      </c>
      <c r="B143" s="40">
        <f t="shared" si="31"/>
        <v>15</v>
      </c>
      <c r="C143" s="51" t="str">
        <f t="shared" si="32"/>
        <v>4315</v>
      </c>
      <c r="D143" s="30" t="s">
        <v>522</v>
      </c>
      <c r="E143" s="40">
        <v>2013</v>
      </c>
      <c r="F143" s="30" t="s">
        <v>523</v>
      </c>
      <c r="G143" s="9" t="s">
        <v>537</v>
      </c>
      <c r="H143" s="44" t="s">
        <v>835</v>
      </c>
      <c r="I143" s="40" t="s">
        <v>183</v>
      </c>
      <c r="J143" s="40" t="s">
        <v>151</v>
      </c>
      <c r="K143" s="49" t="s">
        <v>198</v>
      </c>
      <c r="L143" s="40">
        <v>4</v>
      </c>
      <c r="M143" s="40" t="s">
        <v>148</v>
      </c>
      <c r="N143" s="30" t="s">
        <v>167</v>
      </c>
      <c r="O143" s="30" t="s">
        <v>699</v>
      </c>
      <c r="P143" s="40">
        <v>2008</v>
      </c>
      <c r="Q143" s="30" t="s">
        <v>868</v>
      </c>
      <c r="R143" s="31">
        <v>4144.01</v>
      </c>
      <c r="S143" s="43">
        <v>4144.01</v>
      </c>
      <c r="T143" s="32">
        <f t="shared" si="33"/>
        <v>10016.57121</v>
      </c>
      <c r="U143" s="30" t="str">
        <f t="shared" si="34"/>
        <v>Cost-Effective</v>
      </c>
      <c r="V143" s="30" t="str">
        <f t="shared" si="35"/>
        <v>Cost-Effective</v>
      </c>
      <c r="W143" s="41">
        <f t="shared" si="36"/>
        <v>0.41371542348372126</v>
      </c>
      <c r="X143" s="55">
        <f t="shared" si="37"/>
        <v>0.97</v>
      </c>
      <c r="Y143" s="30" t="str">
        <f t="shared" si="38"/>
        <v>Cost-Effective</v>
      </c>
      <c r="Z143" s="55">
        <f t="shared" si="39"/>
        <v>0.64</v>
      </c>
      <c r="AA143" s="30" t="str">
        <f t="shared" si="43"/>
        <v>Cost-Effective</v>
      </c>
      <c r="AB143" s="55">
        <f t="shared" si="40"/>
        <v>0.6292666176774443</v>
      </c>
      <c r="AC143" s="30" t="str">
        <f t="shared" si="41"/>
        <v>Cost-Effective</v>
      </c>
      <c r="AD143" s="55">
        <f t="shared" si="42"/>
        <v>0.22470477827865473</v>
      </c>
      <c r="AE143" s="30" t="str">
        <f t="shared" si="44"/>
        <v>Not Cost-Effective</v>
      </c>
      <c r="AF143" s="30" t="s">
        <v>173</v>
      </c>
      <c r="AG143" s="30" t="s">
        <v>174</v>
      </c>
    </row>
    <row r="144" spans="1:33" ht="12.75" customHeight="1">
      <c r="A144" s="40">
        <f t="shared" si="30"/>
        <v>43</v>
      </c>
      <c r="B144" s="40">
        <f t="shared" si="31"/>
        <v>16</v>
      </c>
      <c r="C144" s="51" t="str">
        <f t="shared" si="32"/>
        <v>4316</v>
      </c>
      <c r="D144" s="30" t="s">
        <v>522</v>
      </c>
      <c r="E144" s="40">
        <v>2013</v>
      </c>
      <c r="F144" s="30" t="s">
        <v>523</v>
      </c>
      <c r="G144" s="9" t="s">
        <v>537</v>
      </c>
      <c r="H144" s="44" t="s">
        <v>835</v>
      </c>
      <c r="I144" s="40" t="s">
        <v>183</v>
      </c>
      <c r="J144" s="40" t="s">
        <v>151</v>
      </c>
      <c r="K144" s="49" t="s">
        <v>198</v>
      </c>
      <c r="L144" s="40">
        <v>4</v>
      </c>
      <c r="M144" s="40" t="s">
        <v>148</v>
      </c>
      <c r="N144" s="30" t="s">
        <v>153</v>
      </c>
      <c r="O144" s="30" t="s">
        <v>699</v>
      </c>
      <c r="P144" s="40">
        <v>2008</v>
      </c>
      <c r="Q144" s="30" t="s">
        <v>869</v>
      </c>
      <c r="R144" s="31">
        <v>2790.71</v>
      </c>
      <c r="S144" s="43">
        <v>2790.71</v>
      </c>
      <c r="T144" s="32">
        <f t="shared" si="33"/>
        <v>10016.57121</v>
      </c>
      <c r="U144" s="30" t="str">
        <f t="shared" si="34"/>
        <v>Cost-Effective</v>
      </c>
      <c r="V144" s="30" t="str">
        <f t="shared" si="35"/>
        <v>Cost-Effective</v>
      </c>
      <c r="W144" s="41">
        <f t="shared" si="36"/>
        <v>0.27860931066050892</v>
      </c>
      <c r="X144" s="55">
        <f t="shared" si="37"/>
        <v>0.97</v>
      </c>
      <c r="Y144" s="30" t="str">
        <f t="shared" si="38"/>
        <v>Cost-Effective</v>
      </c>
      <c r="Z144" s="55">
        <f t="shared" si="39"/>
        <v>0.64</v>
      </c>
      <c r="AA144" s="30" t="str">
        <f t="shared" si="43"/>
        <v>Cost-Effective</v>
      </c>
      <c r="AB144" s="55">
        <f t="shared" si="40"/>
        <v>0.6292666176774443</v>
      </c>
      <c r="AC144" s="30" t="str">
        <f t="shared" si="41"/>
        <v>Cost-Effective</v>
      </c>
      <c r="AD144" s="55">
        <f t="shared" si="42"/>
        <v>0.22470477827865473</v>
      </c>
      <c r="AE144" s="30" t="str">
        <f t="shared" si="44"/>
        <v>Not Cost-Effective</v>
      </c>
      <c r="AF144" s="30" t="s">
        <v>173</v>
      </c>
      <c r="AG144" s="30" t="s">
        <v>174</v>
      </c>
    </row>
    <row r="145" spans="1:34" ht="12.75" customHeight="1">
      <c r="A145" s="40">
        <f t="shared" si="30"/>
        <v>43</v>
      </c>
      <c r="B145" s="40">
        <f t="shared" si="31"/>
        <v>17</v>
      </c>
      <c r="C145" s="51" t="str">
        <f t="shared" si="32"/>
        <v>4317</v>
      </c>
      <c r="D145" s="30" t="s">
        <v>522</v>
      </c>
      <c r="E145" s="40">
        <v>2013</v>
      </c>
      <c r="F145" s="30" t="s">
        <v>523</v>
      </c>
      <c r="G145" s="9" t="s">
        <v>404</v>
      </c>
      <c r="H145" s="44" t="s">
        <v>835</v>
      </c>
      <c r="I145" s="40" t="s">
        <v>183</v>
      </c>
      <c r="J145" s="40" t="s">
        <v>151</v>
      </c>
      <c r="K145" s="49" t="s">
        <v>198</v>
      </c>
      <c r="L145" s="40">
        <v>4</v>
      </c>
      <c r="M145" s="40" t="s">
        <v>157</v>
      </c>
      <c r="N145" s="30" t="s">
        <v>167</v>
      </c>
      <c r="O145" s="30" t="s">
        <v>699</v>
      </c>
      <c r="P145" s="40">
        <v>2009</v>
      </c>
      <c r="Q145" s="30" t="s">
        <v>870</v>
      </c>
      <c r="R145" s="31">
        <v>2975.23</v>
      </c>
      <c r="S145" s="43">
        <v>2975.23</v>
      </c>
      <c r="T145" s="32">
        <f t="shared" si="33"/>
        <v>4196.311627</v>
      </c>
      <c r="U145" s="30" t="str">
        <f t="shared" si="34"/>
        <v>Cost-Effective</v>
      </c>
      <c r="V145" s="30" t="str">
        <f t="shared" si="35"/>
        <v>Cost-Effective</v>
      </c>
      <c r="W145" s="41">
        <f t="shared" si="36"/>
        <v>0.7090107371570572</v>
      </c>
      <c r="X145" s="55">
        <f t="shared" si="37"/>
        <v>1.08</v>
      </c>
      <c r="Y145" s="30" t="str">
        <f t="shared" si="38"/>
        <v>Cost-Effective</v>
      </c>
      <c r="Z145" s="55">
        <f t="shared" si="39"/>
        <v>0.64</v>
      </c>
      <c r="AA145" s="30" t="str">
        <f t="shared" si="43"/>
        <v>Not Cost-Effective</v>
      </c>
      <c r="AB145" s="55">
        <f t="shared" si="40"/>
        <v>0.64868436103329219</v>
      </c>
      <c r="AC145" s="30" t="str">
        <f t="shared" si="41"/>
        <v>Not Cost-Effective</v>
      </c>
      <c r="AD145" s="55">
        <f t="shared" si="42"/>
        <v>0.16487209176159878</v>
      </c>
      <c r="AE145" s="30" t="str">
        <f t="shared" si="44"/>
        <v>Not Cost-Effective</v>
      </c>
      <c r="AF145" s="30" t="s">
        <v>173</v>
      </c>
      <c r="AG145" s="30" t="s">
        <v>174</v>
      </c>
    </row>
    <row r="146" spans="1:34" ht="12.75" customHeight="1">
      <c r="A146" s="40">
        <f t="shared" si="30"/>
        <v>43</v>
      </c>
      <c r="B146" s="40">
        <f t="shared" si="31"/>
        <v>18</v>
      </c>
      <c r="C146" s="51" t="str">
        <f t="shared" si="32"/>
        <v>4318</v>
      </c>
      <c r="D146" s="30" t="s">
        <v>522</v>
      </c>
      <c r="E146" s="40">
        <v>2013</v>
      </c>
      <c r="F146" s="30" t="s">
        <v>523</v>
      </c>
      <c r="G146" s="9" t="s">
        <v>404</v>
      </c>
      <c r="H146" s="44" t="s">
        <v>835</v>
      </c>
      <c r="I146" s="40" t="s">
        <v>183</v>
      </c>
      <c r="J146" s="40" t="s">
        <v>151</v>
      </c>
      <c r="K146" s="49" t="s">
        <v>198</v>
      </c>
      <c r="L146" s="40">
        <v>4</v>
      </c>
      <c r="M146" s="40" t="s">
        <v>157</v>
      </c>
      <c r="N146" s="30" t="s">
        <v>153</v>
      </c>
      <c r="O146" s="30" t="s">
        <v>699</v>
      </c>
      <c r="P146" s="40">
        <v>2009</v>
      </c>
      <c r="Q146" s="30" t="s">
        <v>871</v>
      </c>
      <c r="R146" s="31">
        <v>1535.87</v>
      </c>
      <c r="S146" s="43">
        <v>1535.87</v>
      </c>
      <c r="T146" s="32">
        <f t="shared" si="33"/>
        <v>4196.311627</v>
      </c>
      <c r="U146" s="30" t="str">
        <f t="shared" si="34"/>
        <v>Cost-Effective</v>
      </c>
      <c r="V146" s="30" t="str">
        <f t="shared" si="35"/>
        <v>Cost-Effective</v>
      </c>
      <c r="W146" s="41">
        <f t="shared" si="36"/>
        <v>0.3660047528686553</v>
      </c>
      <c r="X146" s="55">
        <f t="shared" si="37"/>
        <v>1.08</v>
      </c>
      <c r="Y146" s="30" t="str">
        <f t="shared" si="38"/>
        <v>Cost-Effective</v>
      </c>
      <c r="Z146" s="55">
        <f t="shared" si="39"/>
        <v>0.64</v>
      </c>
      <c r="AA146" s="30" t="str">
        <f t="shared" si="43"/>
        <v>Cost-Effective</v>
      </c>
      <c r="AB146" s="55">
        <f t="shared" si="40"/>
        <v>0.64868436103329219</v>
      </c>
      <c r="AC146" s="30" t="str">
        <f t="shared" si="41"/>
        <v>Cost-Effective</v>
      </c>
      <c r="AD146" s="55">
        <f t="shared" si="42"/>
        <v>0.16487209176159878</v>
      </c>
      <c r="AE146" s="30" t="str">
        <f t="shared" si="44"/>
        <v>Not Cost-Effective</v>
      </c>
      <c r="AF146" s="30" t="s">
        <v>173</v>
      </c>
      <c r="AG146" s="30" t="s">
        <v>174</v>
      </c>
    </row>
    <row r="147" spans="1:34" ht="12.75" customHeight="1">
      <c r="A147" s="40">
        <f t="shared" si="30"/>
        <v>43</v>
      </c>
      <c r="B147" s="40">
        <f t="shared" si="31"/>
        <v>19</v>
      </c>
      <c r="C147" s="51" t="str">
        <f t="shared" si="32"/>
        <v>4319</v>
      </c>
      <c r="D147" s="30" t="s">
        <v>522</v>
      </c>
      <c r="E147" s="40">
        <v>2013</v>
      </c>
      <c r="F147" s="30" t="s">
        <v>523</v>
      </c>
      <c r="G147" s="9" t="s">
        <v>404</v>
      </c>
      <c r="H147" s="44" t="s">
        <v>835</v>
      </c>
      <c r="I147" s="40" t="s">
        <v>183</v>
      </c>
      <c r="J147" s="40" t="s">
        <v>151</v>
      </c>
      <c r="K147" s="49" t="s">
        <v>198</v>
      </c>
      <c r="L147" s="40">
        <v>4</v>
      </c>
      <c r="M147" s="40" t="s">
        <v>148</v>
      </c>
      <c r="N147" s="30" t="s">
        <v>167</v>
      </c>
      <c r="O147" s="30" t="s">
        <v>699</v>
      </c>
      <c r="P147" s="40">
        <v>2009</v>
      </c>
      <c r="Q147" s="30" t="s">
        <v>872</v>
      </c>
      <c r="R147" s="31">
        <v>2920.73</v>
      </c>
      <c r="S147" s="43">
        <v>2920.73</v>
      </c>
      <c r="T147" s="32">
        <f t="shared" si="33"/>
        <v>4196.311627</v>
      </c>
      <c r="U147" s="30" t="str">
        <f t="shared" si="34"/>
        <v>Cost-Effective</v>
      </c>
      <c r="V147" s="30" t="str">
        <f t="shared" si="35"/>
        <v>Cost-Effective</v>
      </c>
      <c r="W147" s="41">
        <f t="shared" si="36"/>
        <v>0.69602314118126385</v>
      </c>
      <c r="X147" s="55">
        <f t="shared" si="37"/>
        <v>1.08</v>
      </c>
      <c r="Y147" s="30" t="str">
        <f t="shared" si="38"/>
        <v>Cost-Effective</v>
      </c>
      <c r="Z147" s="55">
        <f t="shared" si="39"/>
        <v>0.64</v>
      </c>
      <c r="AA147" s="30" t="str">
        <f t="shared" si="43"/>
        <v>Not Cost-Effective</v>
      </c>
      <c r="AB147" s="55">
        <f t="shared" si="40"/>
        <v>0.64868436103329219</v>
      </c>
      <c r="AC147" s="30" t="str">
        <f t="shared" si="41"/>
        <v>Not Cost-Effective</v>
      </c>
      <c r="AD147" s="55">
        <f t="shared" si="42"/>
        <v>0.16487209176159878</v>
      </c>
      <c r="AE147" s="30" t="str">
        <f t="shared" si="44"/>
        <v>Not Cost-Effective</v>
      </c>
      <c r="AF147" s="30" t="s">
        <v>173</v>
      </c>
      <c r="AG147" s="30" t="s">
        <v>174</v>
      </c>
    </row>
    <row r="148" spans="1:34" ht="12.75" customHeight="1">
      <c r="A148" s="40">
        <f t="shared" si="30"/>
        <v>43</v>
      </c>
      <c r="B148" s="40">
        <f t="shared" si="31"/>
        <v>20</v>
      </c>
      <c r="C148" s="51" t="str">
        <f t="shared" si="32"/>
        <v>4320</v>
      </c>
      <c r="D148" s="30" t="s">
        <v>522</v>
      </c>
      <c r="E148" s="40">
        <v>2013</v>
      </c>
      <c r="F148" s="30" t="s">
        <v>523</v>
      </c>
      <c r="G148" s="9" t="s">
        <v>404</v>
      </c>
      <c r="H148" s="44" t="s">
        <v>835</v>
      </c>
      <c r="I148" s="40" t="s">
        <v>183</v>
      </c>
      <c r="J148" s="40" t="s">
        <v>151</v>
      </c>
      <c r="K148" s="49" t="s">
        <v>198</v>
      </c>
      <c r="L148" s="40">
        <v>4</v>
      </c>
      <c r="M148" s="40" t="s">
        <v>148</v>
      </c>
      <c r="N148" s="30" t="s">
        <v>153</v>
      </c>
      <c r="O148" s="30" t="s">
        <v>699</v>
      </c>
      <c r="P148" s="40">
        <v>2009</v>
      </c>
      <c r="Q148" s="30" t="s">
        <v>873</v>
      </c>
      <c r="R148" s="31">
        <v>1478.95</v>
      </c>
      <c r="S148" s="43">
        <v>1478.95</v>
      </c>
      <c r="T148" s="32">
        <f t="shared" si="33"/>
        <v>4196.311627</v>
      </c>
      <c r="U148" s="30" t="str">
        <f t="shared" si="34"/>
        <v>Cost-Effective</v>
      </c>
      <c r="V148" s="30" t="str">
        <f t="shared" si="35"/>
        <v>Cost-Effective</v>
      </c>
      <c r="W148" s="41">
        <f t="shared" si="36"/>
        <v>0.35244045997063411</v>
      </c>
      <c r="X148" s="55">
        <f t="shared" si="37"/>
        <v>1.08</v>
      </c>
      <c r="Y148" s="30" t="str">
        <f t="shared" si="38"/>
        <v>Cost-Effective</v>
      </c>
      <c r="Z148" s="55">
        <f t="shared" si="39"/>
        <v>0.64</v>
      </c>
      <c r="AA148" s="30" t="str">
        <f t="shared" si="43"/>
        <v>Cost-Effective</v>
      </c>
      <c r="AB148" s="55">
        <f t="shared" si="40"/>
        <v>0.64868436103329219</v>
      </c>
      <c r="AC148" s="30" t="str">
        <f t="shared" si="41"/>
        <v>Cost-Effective</v>
      </c>
      <c r="AD148" s="55">
        <f t="shared" si="42"/>
        <v>0.16487209176159878</v>
      </c>
      <c r="AE148" s="30" t="str">
        <f t="shared" si="44"/>
        <v>Not Cost-Effective</v>
      </c>
      <c r="AF148" s="30" t="s">
        <v>173</v>
      </c>
      <c r="AG148" s="30" t="s">
        <v>174</v>
      </c>
    </row>
    <row r="149" spans="1:34" ht="12.75" customHeight="1">
      <c r="A149" s="40">
        <f t="shared" si="30"/>
        <v>44</v>
      </c>
      <c r="B149" s="40">
        <f t="shared" si="31"/>
        <v>1</v>
      </c>
      <c r="C149" s="51" t="str">
        <f t="shared" si="32"/>
        <v>4401</v>
      </c>
      <c r="D149" s="30" t="s">
        <v>58</v>
      </c>
      <c r="E149" s="40">
        <v>2010</v>
      </c>
      <c r="F149" s="30" t="s">
        <v>874</v>
      </c>
      <c r="G149" s="9" t="s">
        <v>365</v>
      </c>
      <c r="H149" s="44" t="s">
        <v>875</v>
      </c>
      <c r="I149" s="40" t="s">
        <v>150</v>
      </c>
      <c r="J149" s="40" t="s">
        <v>151</v>
      </c>
      <c r="K149" s="49" t="s">
        <v>198</v>
      </c>
      <c r="L149" s="40">
        <v>4</v>
      </c>
      <c r="M149" s="40" t="s">
        <v>157</v>
      </c>
      <c r="N149" s="30" t="s">
        <v>153</v>
      </c>
      <c r="O149" s="30" t="s">
        <v>699</v>
      </c>
      <c r="P149" s="40">
        <v>2007</v>
      </c>
      <c r="Q149" s="30" t="s">
        <v>876</v>
      </c>
      <c r="R149" s="31">
        <v>5599.42</v>
      </c>
      <c r="S149" s="43">
        <v>5599.42</v>
      </c>
      <c r="T149" s="32">
        <f t="shared" si="33"/>
        <v>7245.4468569999999</v>
      </c>
      <c r="U149" s="30" t="str">
        <f t="shared" si="34"/>
        <v>Cost-Effective</v>
      </c>
      <c r="V149" s="30" t="str">
        <f t="shared" si="35"/>
        <v>Cost-Effective</v>
      </c>
      <c r="W149" s="41">
        <f t="shared" si="36"/>
        <v>0.77281913876578445</v>
      </c>
      <c r="X149" s="55">
        <f t="shared" si="37"/>
        <v>0.56000000000000005</v>
      </c>
      <c r="Y149" s="30" t="str">
        <f t="shared" si="38"/>
        <v>Not Cost-Effective</v>
      </c>
      <c r="Z149" s="55">
        <f t="shared" si="39"/>
        <v>0.37</v>
      </c>
      <c r="AA149" s="30" t="str">
        <f t="shared" si="43"/>
        <v>Not Cost-Effective</v>
      </c>
      <c r="AB149" s="55">
        <f t="shared" si="40"/>
        <v>0</v>
      </c>
      <c r="AC149" s="30" t="str">
        <f t="shared" si="41"/>
        <v>No Threshold</v>
      </c>
      <c r="AD149" s="55">
        <f t="shared" si="42"/>
        <v>0</v>
      </c>
      <c r="AE149" s="30" t="str">
        <f t="shared" si="44"/>
        <v>No Threshold</v>
      </c>
      <c r="AF149" s="30" t="s">
        <v>173</v>
      </c>
      <c r="AG149" s="30" t="s">
        <v>174</v>
      </c>
      <c r="AH149" s="30" t="s">
        <v>845</v>
      </c>
    </row>
    <row r="150" spans="1:34" ht="12.75" customHeight="1">
      <c r="A150" s="40">
        <f t="shared" ref="A150:A190" si="45">IF(F150=F149,A149,A149+1)</f>
        <v>44</v>
      </c>
      <c r="B150" s="40">
        <f t="shared" ref="B150:B190" si="46">IF(F150=F149,B149+1,1)</f>
        <v>2</v>
      </c>
      <c r="C150" s="51" t="str">
        <f t="shared" ref="C150:C190" si="47">_xlfn.CONCAT(TEXT(A150,"00"),TEXT(B150,"00"))</f>
        <v>4402</v>
      </c>
      <c r="D150" s="30" t="s">
        <v>58</v>
      </c>
      <c r="E150" s="40">
        <v>2010</v>
      </c>
      <c r="F150" s="30" t="s">
        <v>874</v>
      </c>
      <c r="G150" s="9" t="s">
        <v>365</v>
      </c>
      <c r="H150" s="44" t="s">
        <v>875</v>
      </c>
      <c r="I150" s="40" t="s">
        <v>150</v>
      </c>
      <c r="J150" s="40" t="s">
        <v>151</v>
      </c>
      <c r="K150" s="49" t="s">
        <v>198</v>
      </c>
      <c r="L150" s="40">
        <v>4</v>
      </c>
      <c r="M150" s="40" t="s">
        <v>148</v>
      </c>
      <c r="N150" s="30" t="s">
        <v>153</v>
      </c>
      <c r="O150" s="30" t="s">
        <v>699</v>
      </c>
      <c r="P150" s="40">
        <v>2007</v>
      </c>
      <c r="Q150" s="30" t="s">
        <v>877</v>
      </c>
      <c r="R150" s="31">
        <v>2821.83</v>
      </c>
      <c r="S150" s="43">
        <v>2821.83</v>
      </c>
      <c r="T150" s="32">
        <f t="shared" si="33"/>
        <v>7245.4468569999999</v>
      </c>
      <c r="U150" s="30" t="str">
        <f t="shared" si="34"/>
        <v>Cost-Effective</v>
      </c>
      <c r="V150" s="30" t="str">
        <f t="shared" si="35"/>
        <v>Cost-Effective</v>
      </c>
      <c r="W150" s="41">
        <f t="shared" si="36"/>
        <v>0.38946252117959601</v>
      </c>
      <c r="X150" s="55">
        <f t="shared" si="37"/>
        <v>0.56000000000000005</v>
      </c>
      <c r="Y150" s="30" t="str">
        <f t="shared" si="38"/>
        <v>Cost-Effective</v>
      </c>
      <c r="Z150" s="55">
        <f t="shared" si="39"/>
        <v>0.37</v>
      </c>
      <c r="AA150" s="30" t="str">
        <f t="shared" si="43"/>
        <v>Not Cost-Effective</v>
      </c>
      <c r="AB150" s="55">
        <f t="shared" si="40"/>
        <v>0</v>
      </c>
      <c r="AC150" s="30" t="str">
        <f t="shared" si="41"/>
        <v>No Threshold</v>
      </c>
      <c r="AD150" s="55">
        <f t="shared" si="42"/>
        <v>0</v>
      </c>
      <c r="AE150" s="30" t="str">
        <f t="shared" si="44"/>
        <v>No Threshold</v>
      </c>
      <c r="AF150" s="30" t="s">
        <v>210</v>
      </c>
      <c r="AG150" s="30" t="s">
        <v>174</v>
      </c>
      <c r="AH150" s="30" t="s">
        <v>845</v>
      </c>
    </row>
    <row r="151" spans="1:34" ht="12.75" customHeight="1">
      <c r="A151" s="40">
        <f t="shared" si="45"/>
        <v>44</v>
      </c>
      <c r="B151" s="40">
        <f t="shared" si="46"/>
        <v>3</v>
      </c>
      <c r="C151" s="51" t="str">
        <f t="shared" si="47"/>
        <v>4403</v>
      </c>
      <c r="D151" s="30" t="s">
        <v>58</v>
      </c>
      <c r="E151" s="40">
        <v>2010</v>
      </c>
      <c r="F151" s="30" t="s">
        <v>874</v>
      </c>
      <c r="G151" s="9" t="s">
        <v>365</v>
      </c>
      <c r="H151" s="44" t="s">
        <v>875</v>
      </c>
      <c r="I151" s="40" t="s">
        <v>150</v>
      </c>
      <c r="J151" s="40" t="s">
        <v>151</v>
      </c>
      <c r="K151" s="49" t="s">
        <v>198</v>
      </c>
      <c r="L151" s="40">
        <v>4</v>
      </c>
      <c r="M151" s="40" t="s">
        <v>157</v>
      </c>
      <c r="N151" s="67" t="s">
        <v>878</v>
      </c>
      <c r="O151" s="30" t="s">
        <v>699</v>
      </c>
      <c r="P151" s="40">
        <v>2007</v>
      </c>
      <c r="Q151" s="30" t="s">
        <v>879</v>
      </c>
      <c r="R151" s="31">
        <v>5827.76</v>
      </c>
      <c r="S151" s="43">
        <f>R151</f>
        <v>5827.76</v>
      </c>
      <c r="T151" s="32">
        <f t="shared" si="33"/>
        <v>7245.4468569999999</v>
      </c>
      <c r="U151" s="30" t="str">
        <f t="shared" si="34"/>
        <v>Cost-Effective</v>
      </c>
      <c r="V151" s="30" t="str">
        <f t="shared" si="35"/>
        <v>Cost-Effective</v>
      </c>
      <c r="W151" s="41">
        <f t="shared" si="36"/>
        <v>0.80433410319884713</v>
      </c>
      <c r="X151" s="55">
        <f t="shared" si="37"/>
        <v>0.56000000000000005</v>
      </c>
      <c r="Y151" s="30" t="str">
        <f t="shared" si="38"/>
        <v>Not Cost-Effective</v>
      </c>
      <c r="Z151" s="55">
        <f t="shared" si="39"/>
        <v>0.37</v>
      </c>
      <c r="AA151" s="30" t="str">
        <f t="shared" si="43"/>
        <v>Not Cost-Effective</v>
      </c>
      <c r="AB151" s="55">
        <f t="shared" si="40"/>
        <v>0</v>
      </c>
      <c r="AC151" s="30" t="str">
        <f t="shared" si="41"/>
        <v>No Threshold</v>
      </c>
      <c r="AD151" s="55">
        <f t="shared" si="42"/>
        <v>0</v>
      </c>
      <c r="AE151" s="30" t="str">
        <f t="shared" si="44"/>
        <v>No Threshold</v>
      </c>
      <c r="AF151" s="30" t="s">
        <v>173</v>
      </c>
      <c r="AG151" s="30" t="s">
        <v>174</v>
      </c>
      <c r="AH151" s="30" t="s">
        <v>845</v>
      </c>
    </row>
    <row r="152" spans="1:34" ht="12.75" customHeight="1">
      <c r="A152" s="40">
        <f t="shared" si="45"/>
        <v>44</v>
      </c>
      <c r="B152" s="40">
        <f t="shared" si="46"/>
        <v>4</v>
      </c>
      <c r="C152" s="51" t="str">
        <f t="shared" si="47"/>
        <v>4404</v>
      </c>
      <c r="D152" s="30" t="s">
        <v>58</v>
      </c>
      <c r="E152" s="40">
        <v>2010</v>
      </c>
      <c r="F152" s="30" t="s">
        <v>874</v>
      </c>
      <c r="G152" s="9" t="s">
        <v>365</v>
      </c>
      <c r="H152" s="44" t="s">
        <v>875</v>
      </c>
      <c r="I152" s="40" t="s">
        <v>150</v>
      </c>
      <c r="J152" s="40" t="s">
        <v>151</v>
      </c>
      <c r="K152" s="49" t="s">
        <v>198</v>
      </c>
      <c r="L152" s="40">
        <v>4</v>
      </c>
      <c r="M152" s="40" t="s">
        <v>157</v>
      </c>
      <c r="N152" s="67" t="s">
        <v>880</v>
      </c>
      <c r="O152" s="30" t="s">
        <v>699</v>
      </c>
      <c r="P152" s="40">
        <v>2007</v>
      </c>
      <c r="Q152" s="30" t="s">
        <v>881</v>
      </c>
      <c r="R152" s="31">
        <v>5777.68</v>
      </c>
      <c r="S152" s="43">
        <f t="shared" ref="S152:S153" si="48">R152</f>
        <v>5777.68</v>
      </c>
      <c r="T152" s="32">
        <f t="shared" si="33"/>
        <v>7245.4468569999999</v>
      </c>
      <c r="U152" s="30" t="str">
        <f t="shared" si="34"/>
        <v>Cost-Effective</v>
      </c>
      <c r="V152" s="30" t="str">
        <f t="shared" si="35"/>
        <v>Cost-Effective</v>
      </c>
      <c r="W152" s="41">
        <f t="shared" si="36"/>
        <v>0.79742217616544175</v>
      </c>
      <c r="X152" s="55">
        <f t="shared" si="37"/>
        <v>0.56000000000000005</v>
      </c>
      <c r="Y152" s="30" t="str">
        <f t="shared" si="38"/>
        <v>Not Cost-Effective</v>
      </c>
      <c r="Z152" s="55">
        <f t="shared" si="39"/>
        <v>0.37</v>
      </c>
      <c r="AA152" s="30" t="str">
        <f t="shared" si="43"/>
        <v>Not Cost-Effective</v>
      </c>
      <c r="AB152" s="55">
        <f t="shared" si="40"/>
        <v>0</v>
      </c>
      <c r="AC152" s="30" t="str">
        <f t="shared" si="41"/>
        <v>No Threshold</v>
      </c>
      <c r="AD152" s="55">
        <f t="shared" si="42"/>
        <v>0</v>
      </c>
      <c r="AE152" s="30" t="str">
        <f t="shared" si="44"/>
        <v>No Threshold</v>
      </c>
      <c r="AF152" s="30" t="s">
        <v>173</v>
      </c>
      <c r="AG152" s="30" t="s">
        <v>174</v>
      </c>
      <c r="AH152" s="30" t="s">
        <v>845</v>
      </c>
    </row>
    <row r="153" spans="1:34" ht="12.75" customHeight="1">
      <c r="A153" s="40">
        <f t="shared" si="45"/>
        <v>44</v>
      </c>
      <c r="B153" s="40">
        <f t="shared" si="46"/>
        <v>5</v>
      </c>
      <c r="C153" s="51" t="str">
        <f t="shared" si="47"/>
        <v>4405</v>
      </c>
      <c r="D153" s="30" t="s">
        <v>58</v>
      </c>
      <c r="E153" s="40">
        <v>2010</v>
      </c>
      <c r="F153" s="30" t="s">
        <v>874</v>
      </c>
      <c r="G153" s="9" t="s">
        <v>365</v>
      </c>
      <c r="H153" s="44" t="s">
        <v>875</v>
      </c>
      <c r="I153" s="40" t="s">
        <v>150</v>
      </c>
      <c r="J153" s="40" t="s">
        <v>151</v>
      </c>
      <c r="K153" s="49" t="s">
        <v>198</v>
      </c>
      <c r="L153" s="40">
        <v>4</v>
      </c>
      <c r="M153" s="40" t="s">
        <v>157</v>
      </c>
      <c r="N153" s="67" t="s">
        <v>882</v>
      </c>
      <c r="O153" s="30" t="s">
        <v>699</v>
      </c>
      <c r="P153" s="40">
        <v>2007</v>
      </c>
      <c r="Q153" s="30" t="s">
        <v>883</v>
      </c>
      <c r="R153" s="31">
        <v>3412.06</v>
      </c>
      <c r="S153" s="43">
        <f t="shared" si="48"/>
        <v>3412.06</v>
      </c>
      <c r="T153" s="32">
        <f t="shared" si="33"/>
        <v>7245.4468569999999</v>
      </c>
      <c r="U153" s="30" t="str">
        <f t="shared" si="34"/>
        <v>Cost-Effective</v>
      </c>
      <c r="V153" s="30" t="str">
        <f t="shared" si="35"/>
        <v>Cost-Effective</v>
      </c>
      <c r="W153" s="41">
        <f t="shared" si="36"/>
        <v>0.47092471552717646</v>
      </c>
      <c r="X153" s="55">
        <f t="shared" si="37"/>
        <v>0.56000000000000005</v>
      </c>
      <c r="Y153" s="30" t="str">
        <f t="shared" si="38"/>
        <v>Cost-Effective</v>
      </c>
      <c r="Z153" s="55">
        <f t="shared" si="39"/>
        <v>0.37</v>
      </c>
      <c r="AA153" s="30" t="str">
        <f t="shared" si="43"/>
        <v>Not Cost-Effective</v>
      </c>
      <c r="AB153" s="55">
        <f t="shared" si="40"/>
        <v>0</v>
      </c>
      <c r="AC153" s="30" t="str">
        <f t="shared" si="41"/>
        <v>No Threshold</v>
      </c>
      <c r="AD153" s="55">
        <f t="shared" si="42"/>
        <v>0</v>
      </c>
      <c r="AE153" s="30" t="str">
        <f t="shared" si="44"/>
        <v>No Threshold</v>
      </c>
      <c r="AF153" s="30" t="s">
        <v>173</v>
      </c>
      <c r="AG153" s="30" t="s">
        <v>174</v>
      </c>
      <c r="AH153" s="30" t="s">
        <v>845</v>
      </c>
    </row>
    <row r="154" spans="1:34" ht="12.75" customHeight="1">
      <c r="A154" s="40">
        <f t="shared" si="45"/>
        <v>45</v>
      </c>
      <c r="B154" s="40">
        <f t="shared" si="46"/>
        <v>1</v>
      </c>
      <c r="C154" s="51" t="str">
        <f t="shared" si="47"/>
        <v>4501</v>
      </c>
      <c r="D154" s="30" t="s">
        <v>64</v>
      </c>
      <c r="E154" s="40">
        <v>2010</v>
      </c>
      <c r="F154" s="30" t="s">
        <v>884</v>
      </c>
      <c r="G154" s="9" t="s">
        <v>537</v>
      </c>
      <c r="H154" s="44" t="s">
        <v>552</v>
      </c>
      <c r="I154" s="40" t="s">
        <v>183</v>
      </c>
      <c r="J154" s="40" t="s">
        <v>150</v>
      </c>
      <c r="K154" s="49" t="s">
        <v>152</v>
      </c>
      <c r="L154" s="40">
        <v>3</v>
      </c>
      <c r="M154" s="40" t="s">
        <v>157</v>
      </c>
      <c r="N154" s="30" t="s">
        <v>167</v>
      </c>
      <c r="O154" s="30" t="s">
        <v>885</v>
      </c>
      <c r="P154" s="40">
        <v>2008</v>
      </c>
      <c r="Q154" s="30" t="s">
        <v>556</v>
      </c>
      <c r="R154" s="31">
        <f>-228800000/3232.4</f>
        <v>-70783.318896176221</v>
      </c>
      <c r="S154" s="43">
        <f>R154/xRates!N129</f>
        <v>-6359.8491332821595</v>
      </c>
      <c r="T154" s="32">
        <f t="shared" si="33"/>
        <v>10016.57121</v>
      </c>
      <c r="U154" s="30" t="str">
        <f t="shared" si="34"/>
        <v>Cost-Effective</v>
      </c>
      <c r="V154" s="30" t="str">
        <f t="shared" si="35"/>
        <v>Cost-Effective</v>
      </c>
      <c r="W154" s="41">
        <f t="shared" si="36"/>
        <v>-0.63493275292974827</v>
      </c>
      <c r="X154" s="55">
        <f t="shared" si="37"/>
        <v>0.97</v>
      </c>
      <c r="Y154" s="30" t="str">
        <f t="shared" si="38"/>
        <v>Cost-Effective</v>
      </c>
      <c r="Z154" s="55">
        <f t="shared" si="39"/>
        <v>0.64</v>
      </c>
      <c r="AA154" s="30" t="str">
        <f t="shared" si="43"/>
        <v>Cost-Effective</v>
      </c>
      <c r="AB154" s="55">
        <f t="shared" si="40"/>
        <v>0.6292666176774443</v>
      </c>
      <c r="AC154" s="30" t="str">
        <f t="shared" si="41"/>
        <v>Cost-Effective</v>
      </c>
      <c r="AD154" s="55">
        <f t="shared" si="42"/>
        <v>0.22470477827865473</v>
      </c>
      <c r="AE154" s="30" t="str">
        <f t="shared" si="44"/>
        <v>Cost-Effective</v>
      </c>
      <c r="AF154" s="30" t="s">
        <v>173</v>
      </c>
      <c r="AG154" s="30" t="s">
        <v>239</v>
      </c>
      <c r="AH154" s="30" t="s">
        <v>845</v>
      </c>
    </row>
    <row r="155" spans="1:34" ht="12.75" customHeight="1">
      <c r="A155" s="40">
        <f t="shared" si="45"/>
        <v>46</v>
      </c>
      <c r="B155" s="40">
        <f t="shared" si="46"/>
        <v>1</v>
      </c>
      <c r="C155" s="51" t="str">
        <f t="shared" si="47"/>
        <v>4601</v>
      </c>
      <c r="D155" s="30" t="s">
        <v>66</v>
      </c>
      <c r="E155" s="40">
        <v>2015</v>
      </c>
      <c r="F155" s="30" t="s">
        <v>67</v>
      </c>
      <c r="G155" s="9" t="s">
        <v>559</v>
      </c>
      <c r="H155" s="44" t="s">
        <v>886</v>
      </c>
      <c r="I155" s="40" t="s">
        <v>183</v>
      </c>
      <c r="J155" s="40" t="s">
        <v>151</v>
      </c>
      <c r="K155" s="49" t="s">
        <v>177</v>
      </c>
      <c r="L155" s="40">
        <v>0</v>
      </c>
      <c r="M155" s="40" t="s">
        <v>157</v>
      </c>
      <c r="N155" s="30" t="s">
        <v>887</v>
      </c>
      <c r="O155" s="30" t="s">
        <v>699</v>
      </c>
      <c r="P155" s="40">
        <v>2014</v>
      </c>
      <c r="Q155" s="30" t="s">
        <v>563</v>
      </c>
      <c r="R155" s="31">
        <v>1340</v>
      </c>
      <c r="S155" s="43">
        <f>(R155*ppp!$P$68)/xRates!$T$59</f>
        <v>729.54644680023227</v>
      </c>
      <c r="T155" s="32">
        <f t="shared" si="33"/>
        <v>6377.0939289999997</v>
      </c>
      <c r="U155" s="30" t="str">
        <f t="shared" si="34"/>
        <v>Cost-Effective</v>
      </c>
      <c r="V155" s="30" t="str">
        <f t="shared" si="35"/>
        <v>Cost-Effective</v>
      </c>
      <c r="W155" s="41">
        <f t="shared" si="36"/>
        <v>0.11440108220495247</v>
      </c>
      <c r="X155" s="55">
        <f t="shared" si="37"/>
        <v>1.1200000000000001</v>
      </c>
      <c r="Y155" s="30" t="str">
        <f t="shared" si="38"/>
        <v>Cost-Effective</v>
      </c>
      <c r="Z155" s="55">
        <f t="shared" si="39"/>
        <v>0.72</v>
      </c>
      <c r="AA155" s="30" t="str">
        <f t="shared" si="43"/>
        <v>Cost-Effective</v>
      </c>
      <c r="AB155" s="55">
        <f t="shared" si="40"/>
        <v>0.52688663945489422</v>
      </c>
      <c r="AC155" s="30" t="str">
        <f t="shared" si="41"/>
        <v>Cost-Effective</v>
      </c>
      <c r="AD155" s="55">
        <f t="shared" si="42"/>
        <v>0.14166992687317431</v>
      </c>
      <c r="AE155" s="30" t="str">
        <f t="shared" si="44"/>
        <v>Cost-Effective</v>
      </c>
      <c r="AF155" s="30" t="s">
        <v>210</v>
      </c>
      <c r="AG155" s="30" t="s">
        <v>174</v>
      </c>
      <c r="AH155" s="30" t="s">
        <v>845</v>
      </c>
    </row>
    <row r="156" spans="1:34" ht="12.75" customHeight="1">
      <c r="A156" s="40">
        <f t="shared" si="45"/>
        <v>46</v>
      </c>
      <c r="B156" s="40">
        <f t="shared" si="46"/>
        <v>2</v>
      </c>
      <c r="C156" s="51" t="str">
        <f t="shared" si="47"/>
        <v>4602</v>
      </c>
      <c r="D156" s="30" t="s">
        <v>66</v>
      </c>
      <c r="E156" s="40">
        <v>2015</v>
      </c>
      <c r="F156" s="30" t="s">
        <v>67</v>
      </c>
      <c r="G156" s="9" t="s">
        <v>559</v>
      </c>
      <c r="H156" s="44" t="s">
        <v>888</v>
      </c>
      <c r="I156" s="40" t="s">
        <v>186</v>
      </c>
      <c r="J156" s="40" t="s">
        <v>151</v>
      </c>
      <c r="K156" s="49" t="s">
        <v>177</v>
      </c>
      <c r="L156" s="40">
        <v>0</v>
      </c>
      <c r="M156" s="40" t="s">
        <v>157</v>
      </c>
      <c r="N156" s="30" t="s">
        <v>887</v>
      </c>
      <c r="O156" s="30" t="s">
        <v>699</v>
      </c>
      <c r="P156" s="40">
        <v>2014</v>
      </c>
      <c r="Q156" s="30" t="s">
        <v>566</v>
      </c>
      <c r="R156" s="31">
        <v>1166</v>
      </c>
      <c r="S156" s="43">
        <f>(R156*ppp!$P$68)/xRates!$T$59</f>
        <v>634.81429624557518</v>
      </c>
      <c r="T156" s="32">
        <f t="shared" si="33"/>
        <v>6377.0939289999997</v>
      </c>
      <c r="U156" s="30" t="str">
        <f t="shared" si="34"/>
        <v>Cost-Effective</v>
      </c>
      <c r="V156" s="30" t="str">
        <f t="shared" si="35"/>
        <v>Cost-Effective</v>
      </c>
      <c r="W156" s="41">
        <f t="shared" si="36"/>
        <v>9.9546016306697432E-2</v>
      </c>
      <c r="X156" s="55">
        <f t="shared" si="37"/>
        <v>1.1200000000000001</v>
      </c>
      <c r="Y156" s="30" t="str">
        <f t="shared" si="38"/>
        <v>Cost-Effective</v>
      </c>
      <c r="Z156" s="55">
        <f t="shared" si="39"/>
        <v>0.72</v>
      </c>
      <c r="AA156" s="30" t="str">
        <f t="shared" si="43"/>
        <v>Cost-Effective</v>
      </c>
      <c r="AB156" s="55">
        <f t="shared" si="40"/>
        <v>0.52688663945489422</v>
      </c>
      <c r="AC156" s="30" t="str">
        <f t="shared" si="41"/>
        <v>Cost-Effective</v>
      </c>
      <c r="AD156" s="55">
        <f t="shared" si="42"/>
        <v>0.14166992687317431</v>
      </c>
      <c r="AE156" s="30" t="str">
        <f t="shared" si="44"/>
        <v>Cost-Effective</v>
      </c>
      <c r="AF156" s="30" t="s">
        <v>210</v>
      </c>
      <c r="AG156" s="30" t="s">
        <v>174</v>
      </c>
      <c r="AH156" s="30" t="s">
        <v>845</v>
      </c>
    </row>
    <row r="157" spans="1:34" ht="12.75" customHeight="1">
      <c r="A157" s="40">
        <f t="shared" si="45"/>
        <v>46</v>
      </c>
      <c r="B157" s="40">
        <f t="shared" si="46"/>
        <v>3</v>
      </c>
      <c r="C157" s="51" t="str">
        <f t="shared" si="47"/>
        <v>4603</v>
      </c>
      <c r="D157" s="30" t="s">
        <v>66</v>
      </c>
      <c r="E157" s="40">
        <v>2015</v>
      </c>
      <c r="F157" s="30" t="s">
        <v>67</v>
      </c>
      <c r="G157" s="9" t="s">
        <v>567</v>
      </c>
      <c r="H157" s="44" t="s">
        <v>886</v>
      </c>
      <c r="I157" s="40" t="s">
        <v>183</v>
      </c>
      <c r="J157" s="40" t="s">
        <v>151</v>
      </c>
      <c r="K157" s="49" t="s">
        <v>177</v>
      </c>
      <c r="L157" s="40">
        <v>0</v>
      </c>
      <c r="M157" s="40" t="s">
        <v>157</v>
      </c>
      <c r="N157" s="30" t="s">
        <v>887</v>
      </c>
      <c r="O157" s="30" t="s">
        <v>699</v>
      </c>
      <c r="P157" s="40">
        <v>2014</v>
      </c>
      <c r="Q157" s="30" t="s">
        <v>568</v>
      </c>
      <c r="R157" s="31">
        <v>796</v>
      </c>
      <c r="S157" s="43">
        <f>(R157*ppp!$P$99)/xRates!$T$87</f>
        <v>394.38250074639456</v>
      </c>
      <c r="T157" s="32">
        <f t="shared" si="33"/>
        <v>2190.653139</v>
      </c>
      <c r="U157" s="30" t="str">
        <f t="shared" si="34"/>
        <v>Cost-Effective</v>
      </c>
      <c r="V157" s="30" t="str">
        <f t="shared" si="35"/>
        <v>Cost-Effective</v>
      </c>
      <c r="W157" s="41">
        <f t="shared" si="36"/>
        <v>0.18002964217622522</v>
      </c>
      <c r="X157" s="55">
        <f t="shared" si="37"/>
        <v>1</v>
      </c>
      <c r="Y157" s="30" t="str">
        <f t="shared" si="38"/>
        <v>Cost-Effective</v>
      </c>
      <c r="Z157" s="55">
        <f t="shared" si="39"/>
        <v>0.68</v>
      </c>
      <c r="AA157" s="30" t="str">
        <f t="shared" si="43"/>
        <v>Cost-Effective</v>
      </c>
      <c r="AB157" s="55">
        <f t="shared" si="40"/>
        <v>0.56367107654545934</v>
      </c>
      <c r="AC157" s="30" t="str">
        <f t="shared" si="41"/>
        <v>Cost-Effective</v>
      </c>
      <c r="AD157" s="55">
        <f t="shared" si="42"/>
        <v>7.1356831270410731E-2</v>
      </c>
      <c r="AE157" s="30" t="str">
        <f t="shared" si="44"/>
        <v>Not Cost-Effective</v>
      </c>
      <c r="AF157" s="30" t="s">
        <v>210</v>
      </c>
      <c r="AG157" s="30" t="s">
        <v>174</v>
      </c>
      <c r="AH157" s="30" t="s">
        <v>845</v>
      </c>
    </row>
    <row r="158" spans="1:34" ht="12.75" customHeight="1">
      <c r="A158" s="40">
        <f t="shared" si="45"/>
        <v>46</v>
      </c>
      <c r="B158" s="40">
        <f t="shared" si="46"/>
        <v>4</v>
      </c>
      <c r="C158" s="51" t="str">
        <f t="shared" si="47"/>
        <v>4604</v>
      </c>
      <c r="D158" s="30" t="s">
        <v>66</v>
      </c>
      <c r="E158" s="40">
        <v>2015</v>
      </c>
      <c r="F158" s="30" t="s">
        <v>67</v>
      </c>
      <c r="G158" s="9" t="s">
        <v>567</v>
      </c>
      <c r="H158" s="44" t="s">
        <v>888</v>
      </c>
      <c r="I158" s="40" t="s">
        <v>186</v>
      </c>
      <c r="J158" s="40" t="s">
        <v>151</v>
      </c>
      <c r="K158" s="49" t="s">
        <v>177</v>
      </c>
      <c r="L158" s="40">
        <v>0</v>
      </c>
      <c r="M158" s="40" t="s">
        <v>157</v>
      </c>
      <c r="N158" s="30" t="s">
        <v>887</v>
      </c>
      <c r="O158" s="30" t="s">
        <v>699</v>
      </c>
      <c r="P158" s="40">
        <v>2014</v>
      </c>
      <c r="Q158" s="30" t="s">
        <v>569</v>
      </c>
      <c r="R158" s="31">
        <v>691</v>
      </c>
      <c r="S158" s="43">
        <f>(R158*ppp!$P$99)/xRates!$T$87</f>
        <v>342.35968343688273</v>
      </c>
      <c r="T158" s="32">
        <f t="shared" si="33"/>
        <v>2190.653139</v>
      </c>
      <c r="U158" s="30" t="str">
        <f t="shared" si="34"/>
        <v>Cost-Effective</v>
      </c>
      <c r="V158" s="30" t="str">
        <f t="shared" si="35"/>
        <v>Cost-Effective</v>
      </c>
      <c r="W158" s="41">
        <f t="shared" si="36"/>
        <v>0.15628201349720053</v>
      </c>
      <c r="X158" s="55">
        <f t="shared" si="37"/>
        <v>1</v>
      </c>
      <c r="Y158" s="30" t="str">
        <f t="shared" si="38"/>
        <v>Cost-Effective</v>
      </c>
      <c r="Z158" s="55">
        <f t="shared" si="39"/>
        <v>0.68</v>
      </c>
      <c r="AA158" s="30" t="str">
        <f t="shared" si="43"/>
        <v>Cost-Effective</v>
      </c>
      <c r="AB158" s="55">
        <f t="shared" si="40"/>
        <v>0.56367107654545934</v>
      </c>
      <c r="AC158" s="30" t="str">
        <f t="shared" si="41"/>
        <v>Cost-Effective</v>
      </c>
      <c r="AD158" s="55">
        <f t="shared" si="42"/>
        <v>7.1356831270410731E-2</v>
      </c>
      <c r="AE158" s="30" t="str">
        <f t="shared" si="44"/>
        <v>Not Cost-Effective</v>
      </c>
      <c r="AF158" s="30" t="s">
        <v>210</v>
      </c>
      <c r="AG158" s="30" t="s">
        <v>174</v>
      </c>
      <c r="AH158" s="30" t="s">
        <v>845</v>
      </c>
    </row>
    <row r="159" spans="1:34" ht="12.75" customHeight="1">
      <c r="A159" s="40">
        <f t="shared" si="45"/>
        <v>46</v>
      </c>
      <c r="B159" s="40">
        <f t="shared" si="46"/>
        <v>5</v>
      </c>
      <c r="C159" s="51" t="str">
        <f t="shared" si="47"/>
        <v>4605</v>
      </c>
      <c r="D159" s="30" t="s">
        <v>66</v>
      </c>
      <c r="E159" s="40">
        <v>2015</v>
      </c>
      <c r="F159" s="30" t="s">
        <v>67</v>
      </c>
      <c r="G159" s="9" t="s">
        <v>482</v>
      </c>
      <c r="H159" s="44" t="s">
        <v>886</v>
      </c>
      <c r="I159" s="40" t="s">
        <v>183</v>
      </c>
      <c r="J159" s="40" t="s">
        <v>151</v>
      </c>
      <c r="K159" s="49" t="s">
        <v>177</v>
      </c>
      <c r="L159" s="40">
        <v>0</v>
      </c>
      <c r="M159" s="40" t="s">
        <v>157</v>
      </c>
      <c r="N159" s="30" t="s">
        <v>887</v>
      </c>
      <c r="O159" s="30" t="s">
        <v>699</v>
      </c>
      <c r="P159" s="40">
        <v>2014</v>
      </c>
      <c r="Q159" s="30" t="s">
        <v>570</v>
      </c>
      <c r="R159" s="31">
        <v>1226</v>
      </c>
      <c r="S159" s="43">
        <f>(R159*ppp!$P$197)/xRates!$T$155</f>
        <v>654.8609366514122</v>
      </c>
      <c r="T159" s="32">
        <f t="shared" si="33"/>
        <v>6118.3181100000002</v>
      </c>
      <c r="U159" s="30" t="str">
        <f t="shared" si="34"/>
        <v>Cost-Effective</v>
      </c>
      <c r="V159" s="30" t="str">
        <f t="shared" si="35"/>
        <v>Cost-Effective</v>
      </c>
      <c r="W159" s="41">
        <f t="shared" si="36"/>
        <v>0.10703283563845492</v>
      </c>
      <c r="X159" s="55">
        <f t="shared" si="37"/>
        <v>1.42</v>
      </c>
      <c r="Y159" s="30" t="str">
        <f t="shared" si="38"/>
        <v>Cost-Effective</v>
      </c>
      <c r="Z159" s="55">
        <f t="shared" si="39"/>
        <v>0.83</v>
      </c>
      <c r="AA159" s="30" t="str">
        <f t="shared" si="43"/>
        <v>Cost-Effective</v>
      </c>
      <c r="AB159" s="55">
        <f t="shared" si="40"/>
        <v>0.36702186686280114</v>
      </c>
      <c r="AC159" s="30" t="str">
        <f t="shared" si="41"/>
        <v>Cost-Effective</v>
      </c>
      <c r="AD159" s="55">
        <f t="shared" si="42"/>
        <v>8.1522984654243125E-2</v>
      </c>
      <c r="AE159" s="30" t="str">
        <f t="shared" si="44"/>
        <v>Not Cost-Effective</v>
      </c>
      <c r="AF159" s="30" t="s">
        <v>173</v>
      </c>
      <c r="AG159" s="30" t="s">
        <v>174</v>
      </c>
      <c r="AH159" s="30" t="s">
        <v>845</v>
      </c>
    </row>
    <row r="160" spans="1:34" ht="12.75" customHeight="1">
      <c r="A160" s="40">
        <f t="shared" si="45"/>
        <v>46</v>
      </c>
      <c r="B160" s="40">
        <f t="shared" si="46"/>
        <v>6</v>
      </c>
      <c r="C160" s="51" t="str">
        <f t="shared" si="47"/>
        <v>4606</v>
      </c>
      <c r="D160" s="30" t="s">
        <v>66</v>
      </c>
      <c r="E160" s="40">
        <v>2015</v>
      </c>
      <c r="F160" s="30" t="s">
        <v>67</v>
      </c>
      <c r="G160" s="9" t="s">
        <v>482</v>
      </c>
      <c r="H160" s="44" t="s">
        <v>888</v>
      </c>
      <c r="I160" s="40" t="s">
        <v>186</v>
      </c>
      <c r="J160" s="40" t="s">
        <v>151</v>
      </c>
      <c r="K160" s="49" t="s">
        <v>177</v>
      </c>
      <c r="L160" s="40">
        <v>0</v>
      </c>
      <c r="M160" s="40" t="s">
        <v>157</v>
      </c>
      <c r="N160" s="30" t="s">
        <v>887</v>
      </c>
      <c r="O160" s="30" t="s">
        <v>699</v>
      </c>
      <c r="P160" s="40">
        <v>2014</v>
      </c>
      <c r="Q160" s="30" t="s">
        <v>571</v>
      </c>
      <c r="R160" s="31">
        <v>1026</v>
      </c>
      <c r="S160" s="43">
        <f>(R160*ppp!$P$197)/xRates!$T$155</f>
        <v>548.03207259734813</v>
      </c>
      <c r="T160" s="32">
        <f t="shared" si="33"/>
        <v>6118.3181100000002</v>
      </c>
      <c r="U160" s="30" t="str">
        <f t="shared" si="34"/>
        <v>Cost-Effective</v>
      </c>
      <c r="V160" s="30" t="str">
        <f t="shared" si="35"/>
        <v>Cost-Effective</v>
      </c>
      <c r="W160" s="41">
        <f t="shared" si="36"/>
        <v>8.9572340428266506E-2</v>
      </c>
      <c r="X160" s="55">
        <f t="shared" si="37"/>
        <v>1.42</v>
      </c>
      <c r="Y160" s="30" t="str">
        <f t="shared" si="38"/>
        <v>Cost-Effective</v>
      </c>
      <c r="Z160" s="55">
        <f t="shared" si="39"/>
        <v>0.83</v>
      </c>
      <c r="AA160" s="30" t="str">
        <f t="shared" si="43"/>
        <v>Cost-Effective</v>
      </c>
      <c r="AB160" s="55">
        <f t="shared" si="40"/>
        <v>0.36702186686280114</v>
      </c>
      <c r="AC160" s="30" t="str">
        <f t="shared" si="41"/>
        <v>Cost-Effective</v>
      </c>
      <c r="AD160" s="55">
        <f t="shared" si="42"/>
        <v>8.1522984654243125E-2</v>
      </c>
      <c r="AE160" s="30" t="str">
        <f t="shared" si="44"/>
        <v>Not Cost-Effective</v>
      </c>
      <c r="AF160" s="30" t="s">
        <v>173</v>
      </c>
      <c r="AG160" s="30" t="s">
        <v>174</v>
      </c>
      <c r="AH160" s="30" t="s">
        <v>845</v>
      </c>
    </row>
    <row r="161" spans="1:34" ht="12.75" customHeight="1">
      <c r="A161" s="40">
        <f t="shared" si="45"/>
        <v>47</v>
      </c>
      <c r="B161" s="40">
        <f t="shared" si="46"/>
        <v>1</v>
      </c>
      <c r="C161" s="51" t="str">
        <f t="shared" si="47"/>
        <v>4701</v>
      </c>
      <c r="D161" s="30" t="s">
        <v>69</v>
      </c>
      <c r="E161" s="40">
        <v>2018</v>
      </c>
      <c r="F161" s="30" t="s">
        <v>70</v>
      </c>
      <c r="G161" s="9" t="s">
        <v>421</v>
      </c>
      <c r="H161" s="44" t="s">
        <v>888</v>
      </c>
      <c r="I161" s="40" t="s">
        <v>186</v>
      </c>
      <c r="J161" s="40" t="s">
        <v>151</v>
      </c>
      <c r="K161" s="49" t="s">
        <v>152</v>
      </c>
      <c r="L161" s="40">
        <v>3</v>
      </c>
      <c r="M161" s="40" t="s">
        <v>157</v>
      </c>
      <c r="N161" s="30" t="s">
        <v>167</v>
      </c>
      <c r="O161" s="30" t="s">
        <v>699</v>
      </c>
      <c r="P161" s="40">
        <v>2014</v>
      </c>
      <c r="Q161" s="30" t="s">
        <v>889</v>
      </c>
      <c r="R161" s="31">
        <v>2319</v>
      </c>
      <c r="S161" s="43">
        <f t="shared" ref="S161:S163" si="49">R161</f>
        <v>2319</v>
      </c>
      <c r="T161" s="32">
        <f t="shared" si="33"/>
        <v>8114.3439209999997</v>
      </c>
      <c r="U161" s="30" t="str">
        <f t="shared" si="34"/>
        <v>Cost-Effective</v>
      </c>
      <c r="V161" s="30" t="str">
        <f t="shared" si="35"/>
        <v>Cost-Effective</v>
      </c>
      <c r="W161" s="41">
        <f t="shared" si="36"/>
        <v>0.28579020344434819</v>
      </c>
      <c r="X161" s="55">
        <f t="shared" si="37"/>
        <v>1.89</v>
      </c>
      <c r="Y161" s="30" t="str">
        <f t="shared" si="38"/>
        <v>Cost-Effective</v>
      </c>
      <c r="Z161" s="55">
        <f t="shared" si="39"/>
        <v>1.17</v>
      </c>
      <c r="AA161" s="30" t="str">
        <f t="shared" si="43"/>
        <v>Cost-Effective</v>
      </c>
      <c r="AB161" s="55">
        <f t="shared" si="40"/>
        <v>0.67142448878179284</v>
      </c>
      <c r="AC161" s="30" t="str">
        <f t="shared" si="41"/>
        <v>Cost-Effective</v>
      </c>
      <c r="AD161" s="55">
        <f t="shared" si="42"/>
        <v>0.16670017209696561</v>
      </c>
      <c r="AE161" s="30" t="str">
        <f t="shared" si="44"/>
        <v>Not Cost-Effective</v>
      </c>
      <c r="AF161" s="30" t="s">
        <v>210</v>
      </c>
      <c r="AG161" s="30" t="s">
        <v>174</v>
      </c>
    </row>
    <row r="162" spans="1:34" ht="12.75" customHeight="1">
      <c r="A162" s="40">
        <f t="shared" si="45"/>
        <v>47</v>
      </c>
      <c r="B162" s="40">
        <f t="shared" si="46"/>
        <v>2</v>
      </c>
      <c r="C162" s="51" t="str">
        <f t="shared" si="47"/>
        <v>4702</v>
      </c>
      <c r="D162" s="30" t="s">
        <v>69</v>
      </c>
      <c r="E162" s="40">
        <v>2018</v>
      </c>
      <c r="F162" s="30" t="s">
        <v>70</v>
      </c>
      <c r="G162" s="9" t="s">
        <v>421</v>
      </c>
      <c r="H162" s="44" t="s">
        <v>886</v>
      </c>
      <c r="I162" s="40" t="s">
        <v>183</v>
      </c>
      <c r="J162" s="40" t="s">
        <v>151</v>
      </c>
      <c r="K162" s="49" t="s">
        <v>152</v>
      </c>
      <c r="L162" s="40">
        <v>3</v>
      </c>
      <c r="M162" s="40" t="s">
        <v>157</v>
      </c>
      <c r="N162" s="30" t="s">
        <v>167</v>
      </c>
      <c r="O162" s="30" t="s">
        <v>699</v>
      </c>
      <c r="P162" s="40">
        <v>2014</v>
      </c>
      <c r="Q162" s="30" t="s">
        <v>890</v>
      </c>
      <c r="R162" s="31">
        <v>1770</v>
      </c>
      <c r="S162" s="43">
        <f t="shared" si="49"/>
        <v>1770</v>
      </c>
      <c r="T162" s="32">
        <f t="shared" si="33"/>
        <v>8114.3439209999997</v>
      </c>
      <c r="U162" s="30" t="str">
        <f t="shared" si="34"/>
        <v>Cost-Effective</v>
      </c>
      <c r="V162" s="30" t="str">
        <f t="shared" si="35"/>
        <v>Cost-Effective</v>
      </c>
      <c r="W162" s="41">
        <f t="shared" si="36"/>
        <v>0.21813223807524637</v>
      </c>
      <c r="X162" s="55">
        <f t="shared" si="37"/>
        <v>1.89</v>
      </c>
      <c r="Y162" s="30" t="str">
        <f t="shared" si="38"/>
        <v>Cost-Effective</v>
      </c>
      <c r="Z162" s="55">
        <f t="shared" si="39"/>
        <v>1.17</v>
      </c>
      <c r="AA162" s="30" t="str">
        <f t="shared" si="43"/>
        <v>Cost-Effective</v>
      </c>
      <c r="AB162" s="55">
        <f t="shared" si="40"/>
        <v>0.67142448878179284</v>
      </c>
      <c r="AC162" s="30" t="str">
        <f t="shared" si="41"/>
        <v>Cost-Effective</v>
      </c>
      <c r="AD162" s="55">
        <f t="shared" si="42"/>
        <v>0.16670017209696561</v>
      </c>
      <c r="AE162" s="30" t="str">
        <f t="shared" si="44"/>
        <v>Not Cost-Effective</v>
      </c>
      <c r="AF162" s="30" t="s">
        <v>210</v>
      </c>
      <c r="AG162" s="30" t="s">
        <v>174</v>
      </c>
    </row>
    <row r="163" spans="1:34" ht="12.75" customHeight="1">
      <c r="A163" s="40">
        <f t="shared" si="45"/>
        <v>47</v>
      </c>
      <c r="B163" s="40">
        <f t="shared" si="46"/>
        <v>3</v>
      </c>
      <c r="C163" s="51" t="str">
        <f t="shared" si="47"/>
        <v>4703</v>
      </c>
      <c r="D163" s="30" t="s">
        <v>69</v>
      </c>
      <c r="E163" s="40">
        <v>2018</v>
      </c>
      <c r="F163" s="30" t="s">
        <v>70</v>
      </c>
      <c r="G163" s="9" t="s">
        <v>421</v>
      </c>
      <c r="H163" s="44" t="s">
        <v>575</v>
      </c>
      <c r="I163" s="40" t="s">
        <v>186</v>
      </c>
      <c r="J163" s="40" t="s">
        <v>183</v>
      </c>
      <c r="K163" s="49" t="s">
        <v>152</v>
      </c>
      <c r="L163" s="40">
        <v>3</v>
      </c>
      <c r="M163" s="40" t="s">
        <v>157</v>
      </c>
      <c r="N163" s="30" t="s">
        <v>167</v>
      </c>
      <c r="O163" s="30" t="s">
        <v>699</v>
      </c>
      <c r="P163" s="40">
        <v>2014</v>
      </c>
      <c r="Q163" s="30" t="s">
        <v>891</v>
      </c>
      <c r="R163" s="31">
        <v>2217</v>
      </c>
      <c r="S163" s="43">
        <f t="shared" si="49"/>
        <v>2217</v>
      </c>
      <c r="T163" s="32">
        <f t="shared" si="33"/>
        <v>8114.3439209999997</v>
      </c>
      <c r="U163" s="30" t="str">
        <f t="shared" si="34"/>
        <v>Cost-Effective</v>
      </c>
      <c r="V163" s="30" t="str">
        <f t="shared" si="35"/>
        <v>Cost-Effective</v>
      </c>
      <c r="W163" s="41">
        <f t="shared" si="36"/>
        <v>0.27321987108068996</v>
      </c>
      <c r="X163" s="55">
        <f t="shared" si="37"/>
        <v>1.89</v>
      </c>
      <c r="Y163" s="30" t="str">
        <f t="shared" si="38"/>
        <v>Cost-Effective</v>
      </c>
      <c r="Z163" s="55">
        <f t="shared" si="39"/>
        <v>1.17</v>
      </c>
      <c r="AA163" s="30" t="str">
        <f t="shared" si="43"/>
        <v>Cost-Effective</v>
      </c>
      <c r="AB163" s="55">
        <f t="shared" si="40"/>
        <v>0.67142448878179284</v>
      </c>
      <c r="AC163" s="30" t="str">
        <f t="shared" si="41"/>
        <v>Cost-Effective</v>
      </c>
      <c r="AD163" s="55">
        <f t="shared" si="42"/>
        <v>0.16670017209696561</v>
      </c>
      <c r="AE163" s="30" t="str">
        <f t="shared" si="44"/>
        <v>Not Cost-Effective</v>
      </c>
      <c r="AF163" s="30" t="s">
        <v>210</v>
      </c>
      <c r="AG163" s="30" t="s">
        <v>174</v>
      </c>
    </row>
    <row r="164" spans="1:34" s="64" customFormat="1" ht="12.75" customHeight="1">
      <c r="A164" s="40">
        <f t="shared" si="45"/>
        <v>48</v>
      </c>
      <c r="B164" s="40">
        <f t="shared" si="46"/>
        <v>1</v>
      </c>
      <c r="C164" s="51" t="str">
        <f t="shared" si="47"/>
        <v>4801</v>
      </c>
      <c r="D164" s="64" t="s">
        <v>71</v>
      </c>
      <c r="E164" s="72">
        <v>2019</v>
      </c>
      <c r="F164" s="64" t="s">
        <v>72</v>
      </c>
      <c r="G164" s="64" t="s">
        <v>455</v>
      </c>
      <c r="H164" s="64" t="s">
        <v>577</v>
      </c>
      <c r="I164" s="63" t="s">
        <v>186</v>
      </c>
      <c r="J164" s="63" t="s">
        <v>183</v>
      </c>
      <c r="K164" s="65" t="s">
        <v>166</v>
      </c>
      <c r="L164" s="63">
        <v>4</v>
      </c>
      <c r="M164" s="63" t="s">
        <v>157</v>
      </c>
      <c r="N164" s="73" t="s">
        <v>167</v>
      </c>
      <c r="O164" s="64" t="s">
        <v>892</v>
      </c>
      <c r="P164" s="72">
        <v>2016</v>
      </c>
      <c r="Q164" s="64" t="s">
        <v>893</v>
      </c>
      <c r="R164" s="66">
        <f>635340/176</f>
        <v>3609.8863636363635</v>
      </c>
      <c r="S164" s="74">
        <f>R164/xRates!V228</f>
        <v>3995.7944529094543</v>
      </c>
      <c r="T164" s="74">
        <f t="shared" si="33"/>
        <v>10894.60338</v>
      </c>
      <c r="U164" s="64" t="str">
        <f t="shared" si="34"/>
        <v>Cost-Effective</v>
      </c>
      <c r="V164" s="64" t="str">
        <f t="shared" si="35"/>
        <v>Cost-Effective</v>
      </c>
      <c r="W164" s="75">
        <f t="shared" si="36"/>
        <v>0.36676823501852474</v>
      </c>
      <c r="X164" s="76">
        <f t="shared" si="37"/>
        <v>1.43</v>
      </c>
      <c r="Y164" s="64" t="str">
        <f t="shared" si="38"/>
        <v>Cost-Effective</v>
      </c>
      <c r="Z164" s="76">
        <f t="shared" si="39"/>
        <v>0.82</v>
      </c>
      <c r="AA164" s="64" t="str">
        <f t="shared" si="43"/>
        <v>Cost-Effective</v>
      </c>
      <c r="AB164" s="76">
        <f t="shared" si="40"/>
        <v>0.54388575340378054</v>
      </c>
      <c r="AC164" s="64" t="str">
        <f t="shared" si="41"/>
        <v>Cost-Effective</v>
      </c>
      <c r="AD164" s="76">
        <f t="shared" si="42"/>
        <v>0.2338526413848058</v>
      </c>
      <c r="AE164" s="64" t="str">
        <f t="shared" si="44"/>
        <v>Not Cost-Effective</v>
      </c>
      <c r="AF164" s="64" t="s">
        <v>210</v>
      </c>
      <c r="AG164" s="64" t="s">
        <v>174</v>
      </c>
      <c r="AH164" s="64" t="s">
        <v>721</v>
      </c>
    </row>
    <row r="165" spans="1:34" ht="12.75" customHeight="1">
      <c r="A165" s="40">
        <f t="shared" si="45"/>
        <v>49</v>
      </c>
      <c r="B165" s="40">
        <f t="shared" si="46"/>
        <v>1</v>
      </c>
      <c r="C165" s="51" t="str">
        <f t="shared" si="47"/>
        <v>4901</v>
      </c>
      <c r="D165" s="30" t="s">
        <v>73</v>
      </c>
      <c r="E165" s="40">
        <v>2019</v>
      </c>
      <c r="F165" s="30" t="s">
        <v>74</v>
      </c>
      <c r="G165" s="9" t="s">
        <v>583</v>
      </c>
      <c r="H165" s="44" t="s">
        <v>888</v>
      </c>
      <c r="I165" s="40" t="s">
        <v>186</v>
      </c>
      <c r="J165" s="40" t="s">
        <v>151</v>
      </c>
      <c r="K165" s="49" t="s">
        <v>152</v>
      </c>
      <c r="L165" s="40">
        <v>3</v>
      </c>
      <c r="M165" s="40" t="s">
        <v>157</v>
      </c>
      <c r="N165" s="30" t="s">
        <v>167</v>
      </c>
      <c r="O165" s="30" t="s">
        <v>699</v>
      </c>
      <c r="P165" s="40">
        <v>2017</v>
      </c>
      <c r="Q165" s="30" t="s">
        <v>894</v>
      </c>
      <c r="R165" s="31">
        <v>848</v>
      </c>
      <c r="S165" s="43">
        <f>R165</f>
        <v>848</v>
      </c>
      <c r="T165" s="32">
        <f t="shared" si="33"/>
        <v>3687.7774610000001</v>
      </c>
      <c r="U165" s="30" t="str">
        <f t="shared" si="34"/>
        <v>Cost-Effective</v>
      </c>
      <c r="V165" s="30" t="str">
        <f t="shared" si="35"/>
        <v>Cost-Effective</v>
      </c>
      <c r="W165" s="41">
        <f t="shared" si="36"/>
        <v>0.22994879950539401</v>
      </c>
      <c r="X165" s="55">
        <f t="shared" si="37"/>
        <v>1.22</v>
      </c>
      <c r="Y165" s="30" t="str">
        <f t="shared" si="38"/>
        <v>Cost-Effective</v>
      </c>
      <c r="Z165" s="55">
        <f t="shared" si="39"/>
        <v>0.71</v>
      </c>
      <c r="AA165" s="30" t="str">
        <f t="shared" si="43"/>
        <v>Cost-Effective</v>
      </c>
      <c r="AB165" s="55">
        <f t="shared" si="40"/>
        <v>0.58315118145938971</v>
      </c>
      <c r="AC165" s="30" t="str">
        <f t="shared" si="41"/>
        <v>Cost-Effective</v>
      </c>
      <c r="AD165" s="55">
        <f t="shared" si="42"/>
        <v>0.15253723033544223</v>
      </c>
      <c r="AE165" s="30" t="str">
        <f t="shared" si="44"/>
        <v>Not Cost-Effective</v>
      </c>
      <c r="AF165" s="30" t="s">
        <v>210</v>
      </c>
      <c r="AG165" s="30" t="s">
        <v>174</v>
      </c>
      <c r="AH165" s="30" t="s">
        <v>845</v>
      </c>
    </row>
    <row r="166" spans="1:34" ht="12.75" customHeight="1">
      <c r="A166" s="40">
        <f t="shared" si="45"/>
        <v>49</v>
      </c>
      <c r="B166" s="40">
        <f t="shared" si="46"/>
        <v>2</v>
      </c>
      <c r="C166" s="51" t="str">
        <f t="shared" si="47"/>
        <v>4902</v>
      </c>
      <c r="D166" s="30" t="s">
        <v>73</v>
      </c>
      <c r="E166" s="40">
        <v>2019</v>
      </c>
      <c r="F166" s="30" t="s">
        <v>74</v>
      </c>
      <c r="G166" s="9" t="s">
        <v>583</v>
      </c>
      <c r="H166" s="44" t="s">
        <v>886</v>
      </c>
      <c r="I166" s="40" t="s">
        <v>183</v>
      </c>
      <c r="J166" s="40" t="s">
        <v>151</v>
      </c>
      <c r="K166" s="49" t="s">
        <v>152</v>
      </c>
      <c r="L166" s="40">
        <v>3</v>
      </c>
      <c r="M166" s="40" t="s">
        <v>157</v>
      </c>
      <c r="N166" s="30" t="s">
        <v>167</v>
      </c>
      <c r="O166" s="30" t="s">
        <v>699</v>
      </c>
      <c r="P166" s="40">
        <v>2017</v>
      </c>
      <c r="Q166" s="30" t="s">
        <v>895</v>
      </c>
      <c r="R166" s="31">
        <v>1366</v>
      </c>
      <c r="S166" s="43">
        <f t="shared" ref="S166:S168" si="50">R166</f>
        <v>1366</v>
      </c>
      <c r="T166" s="32">
        <f t="shared" si="33"/>
        <v>3687.7774610000001</v>
      </c>
      <c r="U166" s="30" t="str">
        <f t="shared" si="34"/>
        <v>Cost-Effective</v>
      </c>
      <c r="V166" s="30" t="str">
        <f t="shared" si="35"/>
        <v>Cost-Effective</v>
      </c>
      <c r="W166" s="41">
        <f t="shared" si="36"/>
        <v>0.3704128067504342</v>
      </c>
      <c r="X166" s="55">
        <f t="shared" si="37"/>
        <v>1.22</v>
      </c>
      <c r="Y166" s="30" t="str">
        <f t="shared" si="38"/>
        <v>Cost-Effective</v>
      </c>
      <c r="Z166" s="55">
        <f t="shared" si="39"/>
        <v>0.71</v>
      </c>
      <c r="AA166" s="30" t="str">
        <f t="shared" si="43"/>
        <v>Cost-Effective</v>
      </c>
      <c r="AB166" s="55">
        <f t="shared" si="40"/>
        <v>0.58315118145938971</v>
      </c>
      <c r="AC166" s="30" t="str">
        <f t="shared" si="41"/>
        <v>Cost-Effective</v>
      </c>
      <c r="AD166" s="55">
        <f t="shared" si="42"/>
        <v>0.15253723033544223</v>
      </c>
      <c r="AE166" s="30" t="str">
        <f t="shared" si="44"/>
        <v>Not Cost-Effective</v>
      </c>
      <c r="AF166" s="30" t="s">
        <v>210</v>
      </c>
      <c r="AG166" s="30" t="s">
        <v>174</v>
      </c>
      <c r="AH166" s="30" t="s">
        <v>845</v>
      </c>
    </row>
    <row r="167" spans="1:34" ht="12.75" customHeight="1">
      <c r="A167" s="40">
        <f t="shared" si="45"/>
        <v>49</v>
      </c>
      <c r="B167" s="40">
        <f t="shared" si="46"/>
        <v>3</v>
      </c>
      <c r="C167" s="51" t="str">
        <f t="shared" si="47"/>
        <v>4903</v>
      </c>
      <c r="D167" s="30" t="s">
        <v>73</v>
      </c>
      <c r="E167" s="40">
        <v>2019</v>
      </c>
      <c r="F167" s="30" t="s">
        <v>74</v>
      </c>
      <c r="G167" s="9" t="s">
        <v>586</v>
      </c>
      <c r="H167" s="44" t="s">
        <v>888</v>
      </c>
      <c r="I167" s="40" t="s">
        <v>186</v>
      </c>
      <c r="J167" s="40" t="s">
        <v>151</v>
      </c>
      <c r="K167" s="49" t="s">
        <v>152</v>
      </c>
      <c r="L167" s="40">
        <v>3</v>
      </c>
      <c r="M167" s="40" t="s">
        <v>157</v>
      </c>
      <c r="N167" s="30" t="s">
        <v>167</v>
      </c>
      <c r="O167" s="30" t="s">
        <v>699</v>
      </c>
      <c r="P167" s="40">
        <v>2017</v>
      </c>
      <c r="Q167" s="30" t="s">
        <v>896</v>
      </c>
      <c r="R167" s="31">
        <v>308</v>
      </c>
      <c r="S167" s="43">
        <f t="shared" si="50"/>
        <v>308</v>
      </c>
      <c r="T167" s="32">
        <f t="shared" si="33"/>
        <v>4109.6982170000001</v>
      </c>
      <c r="U167" s="30" t="str">
        <f t="shared" si="34"/>
        <v>Cost-Effective</v>
      </c>
      <c r="V167" s="30" t="str">
        <f t="shared" si="35"/>
        <v>Cost-Effective</v>
      </c>
      <c r="W167" s="41">
        <f t="shared" si="36"/>
        <v>7.4944675676170219E-2</v>
      </c>
      <c r="X167" s="55">
        <f t="shared" si="37"/>
        <v>1.54</v>
      </c>
      <c r="Y167" s="30" t="str">
        <f t="shared" si="38"/>
        <v>Cost-Effective</v>
      </c>
      <c r="Z167" s="55">
        <f t="shared" si="39"/>
        <v>0.97</v>
      </c>
      <c r="AA167" s="30" t="str">
        <f t="shared" si="43"/>
        <v>Cost-Effective</v>
      </c>
      <c r="AB167" s="55">
        <f t="shared" si="40"/>
        <v>0.68059652019074324</v>
      </c>
      <c r="AC167" s="30" t="str">
        <f t="shared" si="41"/>
        <v>Cost-Effective</v>
      </c>
      <c r="AD167" s="55">
        <f t="shared" si="42"/>
        <v>0.18401380668795944</v>
      </c>
      <c r="AE167" s="30" t="str">
        <f t="shared" si="44"/>
        <v>Cost-Effective</v>
      </c>
      <c r="AF167" s="30" t="s">
        <v>210</v>
      </c>
      <c r="AG167" s="30" t="s">
        <v>174</v>
      </c>
      <c r="AH167" s="30" t="s">
        <v>845</v>
      </c>
    </row>
    <row r="168" spans="1:34" ht="12.75" customHeight="1">
      <c r="A168" s="40">
        <f t="shared" si="45"/>
        <v>49</v>
      </c>
      <c r="B168" s="40">
        <f t="shared" si="46"/>
        <v>4</v>
      </c>
      <c r="C168" s="51" t="str">
        <f t="shared" si="47"/>
        <v>4904</v>
      </c>
      <c r="D168" s="30" t="s">
        <v>73</v>
      </c>
      <c r="E168" s="40">
        <v>2019</v>
      </c>
      <c r="F168" s="30" t="s">
        <v>74</v>
      </c>
      <c r="G168" s="9" t="s">
        <v>586</v>
      </c>
      <c r="H168" s="44" t="s">
        <v>886</v>
      </c>
      <c r="I168" s="40" t="s">
        <v>183</v>
      </c>
      <c r="J168" s="40" t="s">
        <v>151</v>
      </c>
      <c r="K168" s="49" t="s">
        <v>152</v>
      </c>
      <c r="L168" s="40">
        <v>3</v>
      </c>
      <c r="M168" s="40" t="s">
        <v>157</v>
      </c>
      <c r="N168" s="30" t="s">
        <v>167</v>
      </c>
      <c r="O168" s="30" t="s">
        <v>699</v>
      </c>
      <c r="P168" s="40">
        <v>2017</v>
      </c>
      <c r="Q168" s="30" t="s">
        <v>897</v>
      </c>
      <c r="R168" s="31">
        <v>731</v>
      </c>
      <c r="S168" s="43">
        <f t="shared" si="50"/>
        <v>731</v>
      </c>
      <c r="T168" s="32">
        <f t="shared" si="33"/>
        <v>4109.6982170000001</v>
      </c>
      <c r="U168" s="30" t="str">
        <f t="shared" si="34"/>
        <v>Cost-Effective</v>
      </c>
      <c r="V168" s="30" t="str">
        <f t="shared" si="35"/>
        <v>Cost-Effective</v>
      </c>
      <c r="W168" s="41">
        <f t="shared" si="36"/>
        <v>0.17787194129636502</v>
      </c>
      <c r="X168" s="55">
        <f t="shared" si="37"/>
        <v>1.54</v>
      </c>
      <c r="Y168" s="30" t="str">
        <f t="shared" si="38"/>
        <v>Cost-Effective</v>
      </c>
      <c r="Z168" s="55">
        <f t="shared" si="39"/>
        <v>0.97</v>
      </c>
      <c r="AA168" s="30" t="str">
        <f t="shared" si="43"/>
        <v>Cost-Effective</v>
      </c>
      <c r="AB168" s="55">
        <f t="shared" si="40"/>
        <v>0.68059652019074324</v>
      </c>
      <c r="AC168" s="30" t="str">
        <f t="shared" si="41"/>
        <v>Cost-Effective</v>
      </c>
      <c r="AD168" s="55">
        <f t="shared" si="42"/>
        <v>0.18401380668795944</v>
      </c>
      <c r="AE168" s="30" t="str">
        <f t="shared" si="44"/>
        <v>Cost-Effective</v>
      </c>
      <c r="AF168" s="30" t="s">
        <v>210</v>
      </c>
      <c r="AG168" s="30" t="s">
        <v>174</v>
      </c>
      <c r="AH168" s="30" t="s">
        <v>845</v>
      </c>
    </row>
    <row r="169" spans="1:34" ht="12.75" customHeight="1">
      <c r="A169" s="40">
        <f t="shared" si="45"/>
        <v>50</v>
      </c>
      <c r="B169" s="40">
        <f t="shared" si="46"/>
        <v>1</v>
      </c>
      <c r="C169" s="51" t="str">
        <f t="shared" si="47"/>
        <v>5001</v>
      </c>
      <c r="D169" s="30" t="s">
        <v>73</v>
      </c>
      <c r="E169" s="40">
        <v>2020</v>
      </c>
      <c r="F169" s="30" t="s">
        <v>75</v>
      </c>
      <c r="G169" s="9" t="s">
        <v>421</v>
      </c>
      <c r="H169" s="44" t="s">
        <v>575</v>
      </c>
      <c r="I169" s="40" t="s">
        <v>186</v>
      </c>
      <c r="J169" s="40" t="s">
        <v>183</v>
      </c>
      <c r="K169" s="49" t="s">
        <v>152</v>
      </c>
      <c r="L169" s="40">
        <v>3</v>
      </c>
      <c r="M169" s="40" t="s">
        <v>148</v>
      </c>
      <c r="N169" s="30" t="s">
        <v>167</v>
      </c>
      <c r="O169" s="30" t="s">
        <v>699</v>
      </c>
      <c r="P169" s="40">
        <v>2016</v>
      </c>
      <c r="Q169" s="68" t="s">
        <v>590</v>
      </c>
      <c r="R169" s="119">
        <f>-59836109/6406</f>
        <v>-9340.6351857633472</v>
      </c>
      <c r="S169" s="120">
        <f>R169</f>
        <v>-9340.6351857633472</v>
      </c>
      <c r="T169" s="32">
        <f t="shared" si="33"/>
        <v>5870.7779570000002</v>
      </c>
      <c r="U169" s="30" t="str">
        <f t="shared" si="34"/>
        <v>Cost-Effective</v>
      </c>
      <c r="V169" s="30" t="str">
        <f t="shared" si="35"/>
        <v>Cost-Effective</v>
      </c>
      <c r="W169" s="41">
        <f t="shared" si="36"/>
        <v>-1.5910387437879634</v>
      </c>
      <c r="X169" s="55">
        <f t="shared" si="37"/>
        <v>1.89</v>
      </c>
      <c r="Y169" s="30" t="str">
        <f t="shared" si="38"/>
        <v>Cost-Effective</v>
      </c>
      <c r="Z169" s="55">
        <f t="shared" si="39"/>
        <v>1.17</v>
      </c>
      <c r="AA169" s="30" t="str">
        <f t="shared" si="43"/>
        <v>Cost-Effective</v>
      </c>
      <c r="AB169" s="55">
        <f t="shared" si="40"/>
        <v>0.67142448878179284</v>
      </c>
      <c r="AC169" s="30" t="str">
        <f t="shared" si="41"/>
        <v>Cost-Effective</v>
      </c>
      <c r="AD169" s="55">
        <f t="shared" si="42"/>
        <v>0.16670017209696561</v>
      </c>
      <c r="AE169" s="30" t="str">
        <f t="shared" si="44"/>
        <v>Cost-Effective</v>
      </c>
      <c r="AF169" s="30" t="s">
        <v>210</v>
      </c>
      <c r="AG169" s="30" t="s">
        <v>239</v>
      </c>
      <c r="AH169" s="30" t="s">
        <v>845</v>
      </c>
    </row>
    <row r="170" spans="1:34" ht="12.75" customHeight="1">
      <c r="A170" s="40">
        <f t="shared" si="45"/>
        <v>51</v>
      </c>
      <c r="B170" s="40">
        <f t="shared" si="46"/>
        <v>1</v>
      </c>
      <c r="C170" s="51" t="str">
        <f t="shared" si="47"/>
        <v>5101</v>
      </c>
      <c r="D170" s="30" t="s">
        <v>76</v>
      </c>
      <c r="E170" s="40">
        <v>2021</v>
      </c>
      <c r="F170" s="30" t="s">
        <v>77</v>
      </c>
      <c r="G170" s="30" t="s">
        <v>346</v>
      </c>
      <c r="H170" s="44" t="s">
        <v>888</v>
      </c>
      <c r="I170" s="40" t="s">
        <v>186</v>
      </c>
      <c r="J170" s="40" t="s">
        <v>151</v>
      </c>
      <c r="K170" s="49" t="s">
        <v>331</v>
      </c>
      <c r="L170" s="40">
        <v>3</v>
      </c>
      <c r="M170" s="40" t="s">
        <v>157</v>
      </c>
      <c r="N170" s="30" t="s">
        <v>167</v>
      </c>
      <c r="O170" s="30" t="s">
        <v>699</v>
      </c>
      <c r="P170" s="40">
        <v>2017</v>
      </c>
      <c r="Q170" s="30" t="s">
        <v>898</v>
      </c>
      <c r="R170" s="31">
        <v>91</v>
      </c>
      <c r="S170" s="43">
        <v>91</v>
      </c>
      <c r="T170" s="32">
        <f t="shared" si="33"/>
        <v>679.75507170000003</v>
      </c>
      <c r="U170" s="30" t="str">
        <f t="shared" si="34"/>
        <v>Cost-Effective</v>
      </c>
      <c r="V170" s="30" t="str">
        <f t="shared" si="35"/>
        <v>Cost-Effective</v>
      </c>
      <c r="W170" s="41">
        <f t="shared" si="36"/>
        <v>0.13387174849967359</v>
      </c>
      <c r="X170" s="55">
        <f t="shared" si="37"/>
        <v>0.69</v>
      </c>
      <c r="Y170" s="30" t="str">
        <f t="shared" si="38"/>
        <v>Cost-Effective</v>
      </c>
      <c r="Z170" s="55">
        <f t="shared" si="39"/>
        <v>0.52</v>
      </c>
      <c r="AA170" s="30" t="str">
        <f t="shared" si="43"/>
        <v>Cost-Effective</v>
      </c>
      <c r="AB170" s="55">
        <f t="shared" si="40"/>
        <v>0.35973480239731703</v>
      </c>
      <c r="AC170" s="30" t="str">
        <f t="shared" si="41"/>
        <v>Cost-Effective</v>
      </c>
      <c r="AD170" s="55">
        <f t="shared" si="42"/>
        <v>1.7130228685586526E-2</v>
      </c>
      <c r="AE170" s="30" t="str">
        <f t="shared" si="44"/>
        <v>Not Cost-Effective</v>
      </c>
      <c r="AF170" s="30" t="s">
        <v>819</v>
      </c>
      <c r="AG170" s="30" t="s">
        <v>822</v>
      </c>
    </row>
    <row r="171" spans="1:34" ht="12.75" customHeight="1">
      <c r="A171" s="40">
        <f t="shared" si="45"/>
        <v>51</v>
      </c>
      <c r="B171" s="40">
        <f t="shared" si="46"/>
        <v>2</v>
      </c>
      <c r="C171" s="51" t="str">
        <f t="shared" si="47"/>
        <v>5102</v>
      </c>
      <c r="D171" s="30" t="s">
        <v>76</v>
      </c>
      <c r="E171" s="40">
        <v>2021</v>
      </c>
      <c r="F171" s="30" t="s">
        <v>77</v>
      </c>
      <c r="G171" s="30" t="s">
        <v>346</v>
      </c>
      <c r="H171" s="44" t="s">
        <v>888</v>
      </c>
      <c r="I171" s="40" t="s">
        <v>186</v>
      </c>
      <c r="J171" s="40" t="s">
        <v>151</v>
      </c>
      <c r="K171" s="49" t="s">
        <v>331</v>
      </c>
      <c r="L171" s="40">
        <v>3</v>
      </c>
      <c r="M171" s="40" t="s">
        <v>157</v>
      </c>
      <c r="N171" s="30" t="s">
        <v>887</v>
      </c>
      <c r="O171" s="30" t="s">
        <v>699</v>
      </c>
      <c r="P171" s="40">
        <v>2017</v>
      </c>
      <c r="Q171" s="30" t="s">
        <v>899</v>
      </c>
      <c r="R171" s="31">
        <v>56</v>
      </c>
      <c r="S171" s="43">
        <v>56</v>
      </c>
      <c r="T171" s="32">
        <f t="shared" si="33"/>
        <v>679.75507170000003</v>
      </c>
      <c r="U171" s="30" t="str">
        <f t="shared" si="34"/>
        <v>Cost-Effective</v>
      </c>
      <c r="V171" s="30" t="str">
        <f t="shared" si="35"/>
        <v>Cost-Effective</v>
      </c>
      <c r="W171" s="41">
        <f t="shared" si="36"/>
        <v>8.23826144613376E-2</v>
      </c>
      <c r="X171" s="55">
        <f t="shared" si="37"/>
        <v>0.69</v>
      </c>
      <c r="Y171" s="30" t="str">
        <f t="shared" si="38"/>
        <v>Cost-Effective</v>
      </c>
      <c r="Z171" s="55">
        <f t="shared" si="39"/>
        <v>0.52</v>
      </c>
      <c r="AA171" s="30" t="str">
        <f t="shared" si="43"/>
        <v>Cost-Effective</v>
      </c>
      <c r="AB171" s="55">
        <f t="shared" si="40"/>
        <v>0.35973480239731703</v>
      </c>
      <c r="AC171" s="30" t="str">
        <f t="shared" si="41"/>
        <v>Cost-Effective</v>
      </c>
      <c r="AD171" s="55">
        <f t="shared" si="42"/>
        <v>1.7130228685586526E-2</v>
      </c>
      <c r="AE171" s="30" t="str">
        <f t="shared" si="44"/>
        <v>Not Cost-Effective</v>
      </c>
      <c r="AF171" s="30" t="s">
        <v>819</v>
      </c>
      <c r="AG171" s="30" t="s">
        <v>822</v>
      </c>
    </row>
    <row r="172" spans="1:34" ht="12.75" customHeight="1">
      <c r="A172" s="40">
        <f t="shared" si="45"/>
        <v>52</v>
      </c>
      <c r="B172" s="40">
        <f t="shared" si="46"/>
        <v>1</v>
      </c>
      <c r="C172" s="51" t="str">
        <f t="shared" si="47"/>
        <v>5201</v>
      </c>
      <c r="D172" s="30" t="s">
        <v>78</v>
      </c>
      <c r="E172" s="40">
        <v>2021</v>
      </c>
      <c r="F172" s="30" t="s">
        <v>79</v>
      </c>
      <c r="G172" s="9" t="s">
        <v>285</v>
      </c>
      <c r="H172" s="44" t="s">
        <v>237</v>
      </c>
      <c r="I172" s="40" t="s">
        <v>186</v>
      </c>
      <c r="J172" s="40" t="s">
        <v>183</v>
      </c>
      <c r="K172" s="49" t="s">
        <v>308</v>
      </c>
      <c r="L172" s="40">
        <v>3</v>
      </c>
      <c r="M172" s="40" t="s">
        <v>157</v>
      </c>
      <c r="N172" s="30" t="s">
        <v>887</v>
      </c>
      <c r="O172" s="30" t="s">
        <v>900</v>
      </c>
      <c r="P172" s="40">
        <v>2019</v>
      </c>
      <c r="Q172" s="69" t="s">
        <v>596</v>
      </c>
      <c r="R172" s="119">
        <f>-12274777282/153349</f>
        <v>-80044.716835453772</v>
      </c>
      <c r="S172" s="120">
        <f>R172/xRates!Y157</f>
        <v>-1545.3906232803135</v>
      </c>
      <c r="T172" s="32">
        <f t="shared" si="33"/>
        <v>3485.3408439999998</v>
      </c>
      <c r="U172" s="30" t="str">
        <f t="shared" si="34"/>
        <v>Cost-Effective</v>
      </c>
      <c r="V172" s="30" t="str">
        <f t="shared" si="35"/>
        <v>Cost-Effective</v>
      </c>
      <c r="W172" s="41">
        <f t="shared" si="36"/>
        <v>-0.44339727230428477</v>
      </c>
      <c r="X172" s="55">
        <f t="shared" si="37"/>
        <v>0.34</v>
      </c>
      <c r="Y172" s="30" t="str">
        <f t="shared" si="38"/>
        <v>Cost-Effective</v>
      </c>
      <c r="Z172" s="55">
        <f t="shared" si="39"/>
        <v>0.23</v>
      </c>
      <c r="AA172" s="30" t="str">
        <f t="shared" si="43"/>
        <v>Cost-Effective</v>
      </c>
      <c r="AB172" s="55">
        <f t="shared" si="40"/>
        <v>0.49487542715488553</v>
      </c>
      <c r="AC172" s="30" t="str">
        <f t="shared" si="41"/>
        <v>Cost-Effective</v>
      </c>
      <c r="AD172" s="55">
        <f t="shared" si="42"/>
        <v>8.9154193773153201E-2</v>
      </c>
      <c r="AE172" s="30" t="str">
        <f t="shared" si="44"/>
        <v>Cost-Effective</v>
      </c>
      <c r="AF172" s="30" t="s">
        <v>597</v>
      </c>
      <c r="AG172" s="30" t="s">
        <v>239</v>
      </c>
    </row>
    <row r="173" spans="1:34" s="126" customFormat="1" ht="12.75" customHeight="1">
      <c r="A173" s="40">
        <f t="shared" si="45"/>
        <v>52</v>
      </c>
      <c r="B173" s="40">
        <f t="shared" si="46"/>
        <v>2</v>
      </c>
      <c r="C173" s="51" t="str">
        <f t="shared" si="47"/>
        <v>5202</v>
      </c>
      <c r="D173" s="30" t="s">
        <v>78</v>
      </c>
      <c r="E173" s="40">
        <v>2021</v>
      </c>
      <c r="F173" s="30" t="s">
        <v>79</v>
      </c>
      <c r="G173" s="9" t="s">
        <v>285</v>
      </c>
      <c r="H173" s="44" t="s">
        <v>598</v>
      </c>
      <c r="I173" s="40" t="s">
        <v>186</v>
      </c>
      <c r="J173" s="40" t="s">
        <v>183</v>
      </c>
      <c r="K173" s="49" t="s">
        <v>308</v>
      </c>
      <c r="L173" s="40">
        <v>3</v>
      </c>
      <c r="M173" s="40" t="s">
        <v>157</v>
      </c>
      <c r="N173" s="30" t="s">
        <v>887</v>
      </c>
      <c r="O173" s="30" t="s">
        <v>900</v>
      </c>
      <c r="P173" s="40">
        <v>2019</v>
      </c>
      <c r="Q173" s="127" t="s">
        <v>596</v>
      </c>
      <c r="R173" s="128">
        <f>-12274777282/153349</f>
        <v>-80044.716835453772</v>
      </c>
      <c r="S173" s="129">
        <f>R173/xRates!Y157</f>
        <v>-1545.3906232803135</v>
      </c>
      <c r="T173" s="130">
        <f t="shared" ref="T173" si="51">VLOOKUP(G173,gdppc,P173-1958,FALSE)</f>
        <v>3485.3408439999998</v>
      </c>
      <c r="U173" s="126" t="str">
        <f t="shared" ref="U173" si="52">IF(S173&lt;T173,"Cost-Effective","Not Cost-Effective")</f>
        <v>Cost-Effective</v>
      </c>
      <c r="V173" s="126" t="str">
        <f t="shared" ref="V173" si="53">IF(S173&lt;T173*3,"Cost-Effective","Not Cost-Effective")</f>
        <v>Cost-Effective</v>
      </c>
      <c r="W173" s="131">
        <f t="shared" ref="W173" si="54">S173/T173</f>
        <v>-0.44339727230428477</v>
      </c>
      <c r="X173" s="132">
        <f t="shared" ref="X173" si="55">IFERROR(VLOOKUP(G173,ochalek,11,FALSE),0)</f>
        <v>0.34</v>
      </c>
      <c r="Y173" s="126" t="str">
        <f t="shared" ref="Y173" si="56">IF( W173&lt;X173, "Cost-Effective", IF( W173-X173=W173, "No Threshold", "Not Cost-Effective"))</f>
        <v>Cost-Effective</v>
      </c>
      <c r="Z173" s="132">
        <f t="shared" ref="Z173" si="57">IFERROR(VLOOKUP(G173,ochalek,10,FALSE),0)</f>
        <v>0.23</v>
      </c>
      <c r="AA173" s="126" t="str">
        <f t="shared" ref="AA173" si="58">IF( W173&lt;Z173, "Cost-Effective", IF( W173-Z173=W173, "No Threshold", "Not Cost-Effective"))</f>
        <v>Cost-Effective</v>
      </c>
      <c r="AB173" s="132">
        <f t="shared" ref="AB173" si="59">IFERROR(VLOOKUP(G173,woods,6,FALSE),0)</f>
        <v>0.49487542715488553</v>
      </c>
      <c r="AC173" s="126" t="str">
        <f t="shared" ref="AC173" si="60">IF( W173&lt;AB173, "Cost-Effective", IF( W173-AB173=W173, "No Threshold", "Not Cost-Effective"))</f>
        <v>Cost-Effective</v>
      </c>
      <c r="AD173" s="132">
        <f t="shared" ref="AD173" si="61">IFERROR(VLOOKUP(G173,woods,5,FALSE),0)</f>
        <v>8.9154193773153201E-2</v>
      </c>
      <c r="AE173" s="126" t="str">
        <f t="shared" ref="AE173" si="62">IF( W173&lt;AD173, "Cost-Effective", IF( W173-AD173=W173, "No Threshold", "Not Cost-Effective"))</f>
        <v>Cost-Effective</v>
      </c>
      <c r="AF173" s="126" t="s">
        <v>597</v>
      </c>
      <c r="AG173" s="126" t="s">
        <v>239</v>
      </c>
    </row>
    <row r="174" spans="1:34" ht="12.75" customHeight="1">
      <c r="A174" s="40">
        <f t="shared" si="45"/>
        <v>53</v>
      </c>
      <c r="B174" s="40">
        <f t="shared" si="46"/>
        <v>1</v>
      </c>
      <c r="C174" s="51" t="str">
        <f t="shared" si="47"/>
        <v>5301</v>
      </c>
      <c r="D174" s="30" t="s">
        <v>78</v>
      </c>
      <c r="E174" s="40">
        <v>2021</v>
      </c>
      <c r="F174" s="30" t="s">
        <v>80</v>
      </c>
      <c r="G174" s="9" t="s">
        <v>330</v>
      </c>
      <c r="H174" s="44" t="s">
        <v>575</v>
      </c>
      <c r="I174" s="40" t="s">
        <v>186</v>
      </c>
      <c r="J174" s="40" t="s">
        <v>183</v>
      </c>
      <c r="K174" s="49" t="s">
        <v>152</v>
      </c>
      <c r="L174" s="40">
        <v>3</v>
      </c>
      <c r="M174" s="40" t="s">
        <v>148</v>
      </c>
      <c r="N174" s="30" t="s">
        <v>167</v>
      </c>
      <c r="O174" s="30" t="s">
        <v>901</v>
      </c>
      <c r="P174" s="40">
        <v>2019</v>
      </c>
      <c r="Q174" s="68" t="s">
        <v>601</v>
      </c>
      <c r="R174" s="119">
        <f>-172101081/20317</f>
        <v>-8470.7919968499282</v>
      </c>
      <c r="S174" s="120">
        <f>R174/xRates!Y28</f>
        <v>-2147.5102207629507</v>
      </c>
      <c r="T174" s="32">
        <f t="shared" si="33"/>
        <v>8897.5529659999993</v>
      </c>
      <c r="U174" s="30" t="str">
        <f t="shared" si="34"/>
        <v>Cost-Effective</v>
      </c>
      <c r="V174" s="30" t="str">
        <f t="shared" si="35"/>
        <v>Cost-Effective</v>
      </c>
      <c r="W174" s="41">
        <f t="shared" si="36"/>
        <v>-0.24135964449654626</v>
      </c>
      <c r="X174" s="55">
        <f t="shared" si="37"/>
        <v>1.0900000000000001</v>
      </c>
      <c r="Y174" s="30" t="str">
        <f t="shared" si="38"/>
        <v>Cost-Effective</v>
      </c>
      <c r="Z174" s="55">
        <f t="shared" si="39"/>
        <v>0.71</v>
      </c>
      <c r="AA174" s="30" t="str">
        <f t="shared" si="43"/>
        <v>Cost-Effective</v>
      </c>
      <c r="AB174" s="55">
        <f t="shared" si="40"/>
        <v>0.61331405073457201</v>
      </c>
      <c r="AC174" s="30" t="str">
        <f t="shared" si="41"/>
        <v>Cost-Effective</v>
      </c>
      <c r="AD174" s="55">
        <f t="shared" si="42"/>
        <v>0.19454672897770822</v>
      </c>
      <c r="AE174" s="30" t="str">
        <f t="shared" si="44"/>
        <v>Cost-Effective</v>
      </c>
      <c r="AF174" s="30" t="s">
        <v>210</v>
      </c>
      <c r="AG174" s="30" t="s">
        <v>239</v>
      </c>
    </row>
    <row r="175" spans="1:34" ht="12.75" customHeight="1">
      <c r="A175" s="40">
        <f t="shared" si="45"/>
        <v>54</v>
      </c>
      <c r="B175" s="40">
        <f t="shared" si="46"/>
        <v>1</v>
      </c>
      <c r="C175" s="51" t="str">
        <f t="shared" si="47"/>
        <v>5401</v>
      </c>
      <c r="D175" s="30" t="s">
        <v>81</v>
      </c>
      <c r="E175" s="40">
        <v>2021</v>
      </c>
      <c r="F175" s="30" t="s">
        <v>82</v>
      </c>
      <c r="G175" s="9" t="s">
        <v>602</v>
      </c>
      <c r="H175" s="44" t="s">
        <v>902</v>
      </c>
      <c r="I175" s="40" t="s">
        <v>186</v>
      </c>
      <c r="J175" s="40" t="s">
        <v>151</v>
      </c>
      <c r="K175" s="49" t="s">
        <v>152</v>
      </c>
      <c r="L175" s="40">
        <v>3</v>
      </c>
      <c r="M175" s="40" t="s">
        <v>157</v>
      </c>
      <c r="N175" s="30" t="s">
        <v>604</v>
      </c>
      <c r="O175" s="30" t="s">
        <v>699</v>
      </c>
      <c r="P175" s="40">
        <v>2019</v>
      </c>
      <c r="Q175" s="30" t="s">
        <v>903</v>
      </c>
      <c r="R175" s="31">
        <v>162</v>
      </c>
      <c r="S175" s="43">
        <f>R175</f>
        <v>162</v>
      </c>
      <c r="T175" s="32">
        <f t="shared" si="33"/>
        <v>4135.2015309999997</v>
      </c>
      <c r="U175" s="30" t="str">
        <f t="shared" si="34"/>
        <v>Cost-Effective</v>
      </c>
      <c r="V175" s="30" t="str">
        <f t="shared" si="35"/>
        <v>Cost-Effective</v>
      </c>
      <c r="W175" s="41">
        <f t="shared" si="36"/>
        <v>3.9175841560695153E-2</v>
      </c>
      <c r="X175" s="55">
        <f t="shared" si="37"/>
        <v>0.23</v>
      </c>
      <c r="Y175" s="30" t="str">
        <f t="shared" si="38"/>
        <v>Cost-Effective</v>
      </c>
      <c r="Z175" s="55">
        <f t="shared" si="39"/>
        <v>0.16</v>
      </c>
      <c r="AA175" s="30" t="str">
        <f t="shared" si="43"/>
        <v>Cost-Effective</v>
      </c>
      <c r="AB175" s="55">
        <f t="shared" si="40"/>
        <v>0.49283550177804297</v>
      </c>
      <c r="AC175" s="30" t="str">
        <f t="shared" si="41"/>
        <v>Cost-Effective</v>
      </c>
      <c r="AD175" s="55">
        <f t="shared" si="42"/>
        <v>0.13024544055948281</v>
      </c>
      <c r="AE175" s="30" t="str">
        <f t="shared" si="44"/>
        <v>Cost-Effective</v>
      </c>
      <c r="AF175" s="126" t="s">
        <v>173</v>
      </c>
      <c r="AG175" s="30" t="s">
        <v>174</v>
      </c>
      <c r="AH175" s="30" t="s">
        <v>904</v>
      </c>
    </row>
    <row r="176" spans="1:34" ht="12.75" customHeight="1">
      <c r="A176" s="40">
        <f t="shared" si="45"/>
        <v>54</v>
      </c>
      <c r="B176" s="40">
        <f t="shared" si="46"/>
        <v>2</v>
      </c>
      <c r="C176" s="51" t="str">
        <f t="shared" si="47"/>
        <v>5402</v>
      </c>
      <c r="D176" s="30" t="s">
        <v>81</v>
      </c>
      <c r="E176" s="40">
        <v>2021</v>
      </c>
      <c r="F176" s="30" t="s">
        <v>82</v>
      </c>
      <c r="G176" s="9" t="s">
        <v>602</v>
      </c>
      <c r="H176" s="44" t="s">
        <v>902</v>
      </c>
      <c r="I176" s="40" t="s">
        <v>186</v>
      </c>
      <c r="J176" s="40" t="s">
        <v>151</v>
      </c>
      <c r="K176" s="49" t="s">
        <v>152</v>
      </c>
      <c r="L176" s="40">
        <v>3</v>
      </c>
      <c r="M176" s="40" t="s">
        <v>157</v>
      </c>
      <c r="N176" s="30" t="s">
        <v>887</v>
      </c>
      <c r="O176" s="30" t="s">
        <v>699</v>
      </c>
      <c r="P176" s="40">
        <v>2019</v>
      </c>
      <c r="Q176" s="30" t="s">
        <v>905</v>
      </c>
      <c r="R176" s="31">
        <v>254</v>
      </c>
      <c r="S176" s="43">
        <f t="shared" ref="S176:S190" si="63">R176</f>
        <v>254</v>
      </c>
      <c r="T176" s="32">
        <f t="shared" si="33"/>
        <v>4135.2015309999997</v>
      </c>
      <c r="U176" s="30" t="str">
        <f t="shared" si="34"/>
        <v>Cost-Effective</v>
      </c>
      <c r="V176" s="30" t="str">
        <f t="shared" si="35"/>
        <v>Cost-Effective</v>
      </c>
      <c r="W176" s="41">
        <f t="shared" si="36"/>
        <v>6.1423850348250417E-2</v>
      </c>
      <c r="X176" s="55">
        <f t="shared" si="37"/>
        <v>0.23</v>
      </c>
      <c r="Y176" s="30" t="str">
        <f t="shared" si="38"/>
        <v>Cost-Effective</v>
      </c>
      <c r="Z176" s="55">
        <f t="shared" si="39"/>
        <v>0.16</v>
      </c>
      <c r="AA176" s="30" t="str">
        <f t="shared" si="43"/>
        <v>Cost-Effective</v>
      </c>
      <c r="AB176" s="55">
        <f t="shared" si="40"/>
        <v>0.49283550177804297</v>
      </c>
      <c r="AC176" s="30" t="str">
        <f t="shared" si="41"/>
        <v>Cost-Effective</v>
      </c>
      <c r="AD176" s="55">
        <f t="shared" si="42"/>
        <v>0.13024544055948281</v>
      </c>
      <c r="AE176" s="30" t="str">
        <f t="shared" si="44"/>
        <v>Cost-Effective</v>
      </c>
      <c r="AF176" s="126" t="s">
        <v>173</v>
      </c>
      <c r="AG176" s="30" t="s">
        <v>174</v>
      </c>
      <c r="AH176" s="30" t="s">
        <v>904</v>
      </c>
    </row>
    <row r="177" spans="1:34" ht="12.75" customHeight="1">
      <c r="A177" s="40">
        <f t="shared" si="45"/>
        <v>54</v>
      </c>
      <c r="B177" s="40">
        <f t="shared" si="46"/>
        <v>3</v>
      </c>
      <c r="C177" s="51" t="str">
        <f t="shared" si="47"/>
        <v>5403</v>
      </c>
      <c r="D177" s="30" t="s">
        <v>81</v>
      </c>
      <c r="E177" s="40">
        <v>2021</v>
      </c>
      <c r="F177" s="30" t="s">
        <v>82</v>
      </c>
      <c r="G177" s="9" t="s">
        <v>602</v>
      </c>
      <c r="H177" s="44" t="s">
        <v>902</v>
      </c>
      <c r="I177" s="40" t="s">
        <v>186</v>
      </c>
      <c r="J177" s="40" t="s">
        <v>151</v>
      </c>
      <c r="K177" s="49" t="s">
        <v>152</v>
      </c>
      <c r="L177" s="40">
        <v>3</v>
      </c>
      <c r="M177" s="40" t="s">
        <v>157</v>
      </c>
      <c r="N177" s="30" t="s">
        <v>609</v>
      </c>
      <c r="O177" s="30" t="s">
        <v>699</v>
      </c>
      <c r="P177" s="40">
        <v>2019</v>
      </c>
      <c r="Q177" s="30" t="s">
        <v>906</v>
      </c>
      <c r="R177" s="31">
        <v>322</v>
      </c>
      <c r="S177" s="43">
        <f t="shared" si="63"/>
        <v>322</v>
      </c>
      <c r="T177" s="32">
        <f t="shared" si="33"/>
        <v>4135.2015309999997</v>
      </c>
      <c r="U177" s="30" t="str">
        <f t="shared" si="34"/>
        <v>Cost-Effective</v>
      </c>
      <c r="V177" s="30" t="str">
        <f t="shared" si="35"/>
        <v>Cost-Effective</v>
      </c>
      <c r="W177" s="41">
        <f t="shared" si="36"/>
        <v>7.786803075644344E-2</v>
      </c>
      <c r="X177" s="55">
        <f t="shared" si="37"/>
        <v>0.23</v>
      </c>
      <c r="Y177" s="30" t="str">
        <f t="shared" si="38"/>
        <v>Cost-Effective</v>
      </c>
      <c r="Z177" s="55">
        <f t="shared" si="39"/>
        <v>0.16</v>
      </c>
      <c r="AA177" s="30" t="str">
        <f t="shared" si="43"/>
        <v>Cost-Effective</v>
      </c>
      <c r="AB177" s="55">
        <f t="shared" si="40"/>
        <v>0.49283550177804297</v>
      </c>
      <c r="AC177" s="30" t="str">
        <f t="shared" si="41"/>
        <v>Cost-Effective</v>
      </c>
      <c r="AD177" s="55">
        <f t="shared" si="42"/>
        <v>0.13024544055948281</v>
      </c>
      <c r="AE177" s="30" t="str">
        <f t="shared" si="44"/>
        <v>Cost-Effective</v>
      </c>
      <c r="AF177" s="126" t="s">
        <v>173</v>
      </c>
      <c r="AG177" s="30" t="s">
        <v>174</v>
      </c>
      <c r="AH177" s="30" t="s">
        <v>904</v>
      </c>
    </row>
    <row r="178" spans="1:34" ht="12.75" customHeight="1">
      <c r="A178" s="40">
        <f t="shared" si="45"/>
        <v>54</v>
      </c>
      <c r="B178" s="40">
        <f t="shared" si="46"/>
        <v>4</v>
      </c>
      <c r="C178" s="51" t="str">
        <f t="shared" si="47"/>
        <v>5404</v>
      </c>
      <c r="D178" s="30" t="s">
        <v>81</v>
      </c>
      <c r="E178" s="40">
        <v>2021</v>
      </c>
      <c r="F178" s="30" t="s">
        <v>82</v>
      </c>
      <c r="G178" s="9" t="s">
        <v>602</v>
      </c>
      <c r="H178" s="44" t="s">
        <v>907</v>
      </c>
      <c r="I178" s="40" t="s">
        <v>186</v>
      </c>
      <c r="J178" s="40" t="s">
        <v>151</v>
      </c>
      <c r="K178" s="49" t="s">
        <v>152</v>
      </c>
      <c r="L178" s="40">
        <v>3</v>
      </c>
      <c r="M178" s="40" t="s">
        <v>157</v>
      </c>
      <c r="N178" s="30" t="s">
        <v>604</v>
      </c>
      <c r="O178" s="30" t="s">
        <v>699</v>
      </c>
      <c r="P178" s="40">
        <v>2019</v>
      </c>
      <c r="Q178" s="30" t="s">
        <v>908</v>
      </c>
      <c r="R178" s="31">
        <v>447</v>
      </c>
      <c r="S178" s="43">
        <f t="shared" si="63"/>
        <v>447</v>
      </c>
      <c r="T178" s="32">
        <f t="shared" si="33"/>
        <v>4135.2015309999997</v>
      </c>
      <c r="U178" s="30" t="str">
        <f t="shared" si="34"/>
        <v>Cost-Effective</v>
      </c>
      <c r="V178" s="30" t="str">
        <f t="shared" si="35"/>
        <v>Cost-Effective</v>
      </c>
      <c r="W178" s="41">
        <f t="shared" si="36"/>
        <v>0.1080963035656218</v>
      </c>
      <c r="X178" s="55">
        <f t="shared" si="37"/>
        <v>0.23</v>
      </c>
      <c r="Y178" s="30" t="str">
        <f t="shared" si="38"/>
        <v>Cost-Effective</v>
      </c>
      <c r="Z178" s="55">
        <f t="shared" si="39"/>
        <v>0.16</v>
      </c>
      <c r="AA178" s="30" t="str">
        <f t="shared" si="43"/>
        <v>Cost-Effective</v>
      </c>
      <c r="AB178" s="55">
        <f t="shared" si="40"/>
        <v>0.49283550177804297</v>
      </c>
      <c r="AC178" s="30" t="str">
        <f t="shared" si="41"/>
        <v>Cost-Effective</v>
      </c>
      <c r="AD178" s="55">
        <f t="shared" si="42"/>
        <v>0.13024544055948281</v>
      </c>
      <c r="AE178" s="30" t="str">
        <f t="shared" si="44"/>
        <v>Cost-Effective</v>
      </c>
      <c r="AF178" s="126" t="s">
        <v>173</v>
      </c>
      <c r="AG178" s="30" t="s">
        <v>174</v>
      </c>
      <c r="AH178" s="30" t="s">
        <v>904</v>
      </c>
    </row>
    <row r="179" spans="1:34" ht="12.75" customHeight="1">
      <c r="A179" s="40">
        <f t="shared" si="45"/>
        <v>54</v>
      </c>
      <c r="B179" s="40">
        <f t="shared" si="46"/>
        <v>5</v>
      </c>
      <c r="C179" s="51" t="str">
        <f t="shared" si="47"/>
        <v>5405</v>
      </c>
      <c r="D179" s="30" t="s">
        <v>81</v>
      </c>
      <c r="E179" s="40">
        <v>2021</v>
      </c>
      <c r="F179" s="30" t="s">
        <v>82</v>
      </c>
      <c r="G179" s="9" t="s">
        <v>602</v>
      </c>
      <c r="H179" s="44" t="s">
        <v>907</v>
      </c>
      <c r="I179" s="40" t="s">
        <v>186</v>
      </c>
      <c r="J179" s="40" t="s">
        <v>151</v>
      </c>
      <c r="K179" s="49" t="s">
        <v>152</v>
      </c>
      <c r="L179" s="40">
        <v>3</v>
      </c>
      <c r="M179" s="40" t="s">
        <v>157</v>
      </c>
      <c r="N179" s="30" t="s">
        <v>887</v>
      </c>
      <c r="O179" s="30" t="s">
        <v>699</v>
      </c>
      <c r="P179" s="40">
        <v>2019</v>
      </c>
      <c r="Q179" s="30" t="s">
        <v>909</v>
      </c>
      <c r="R179" s="31">
        <v>539</v>
      </c>
      <c r="S179" s="43">
        <f t="shared" si="63"/>
        <v>539</v>
      </c>
      <c r="T179" s="32">
        <f t="shared" si="33"/>
        <v>4135.2015309999997</v>
      </c>
      <c r="U179" s="30" t="str">
        <f t="shared" si="34"/>
        <v>Cost-Effective</v>
      </c>
      <c r="V179" s="30" t="str">
        <f t="shared" si="35"/>
        <v>Cost-Effective</v>
      </c>
      <c r="W179" s="41">
        <f t="shared" si="36"/>
        <v>0.13034431235317706</v>
      </c>
      <c r="X179" s="55">
        <f t="shared" si="37"/>
        <v>0.23</v>
      </c>
      <c r="Y179" s="30" t="str">
        <f t="shared" si="38"/>
        <v>Cost-Effective</v>
      </c>
      <c r="Z179" s="55">
        <f t="shared" si="39"/>
        <v>0.16</v>
      </c>
      <c r="AA179" s="30" t="str">
        <f t="shared" si="43"/>
        <v>Cost-Effective</v>
      </c>
      <c r="AB179" s="55">
        <f t="shared" si="40"/>
        <v>0.49283550177804297</v>
      </c>
      <c r="AC179" s="30" t="str">
        <f t="shared" si="41"/>
        <v>Cost-Effective</v>
      </c>
      <c r="AD179" s="55">
        <f t="shared" si="42"/>
        <v>0.13024544055948281</v>
      </c>
      <c r="AE179" s="30" t="str">
        <f t="shared" si="44"/>
        <v>Not Cost-Effective</v>
      </c>
      <c r="AF179" s="126" t="s">
        <v>173</v>
      </c>
      <c r="AG179" s="30" t="s">
        <v>174</v>
      </c>
      <c r="AH179" s="30" t="s">
        <v>904</v>
      </c>
    </row>
    <row r="180" spans="1:34" ht="12.75" customHeight="1">
      <c r="A180" s="40">
        <f t="shared" si="45"/>
        <v>54</v>
      </c>
      <c r="B180" s="40">
        <f t="shared" si="46"/>
        <v>6</v>
      </c>
      <c r="C180" s="51" t="str">
        <f t="shared" si="47"/>
        <v>5406</v>
      </c>
      <c r="D180" s="30" t="s">
        <v>81</v>
      </c>
      <c r="E180" s="40">
        <v>2021</v>
      </c>
      <c r="F180" s="30" t="s">
        <v>82</v>
      </c>
      <c r="G180" s="9" t="s">
        <v>602</v>
      </c>
      <c r="H180" s="44" t="s">
        <v>907</v>
      </c>
      <c r="I180" s="40" t="s">
        <v>186</v>
      </c>
      <c r="J180" s="40" t="s">
        <v>151</v>
      </c>
      <c r="K180" s="49" t="s">
        <v>152</v>
      </c>
      <c r="L180" s="40">
        <v>3</v>
      </c>
      <c r="M180" s="40" t="s">
        <v>157</v>
      </c>
      <c r="N180" s="30" t="s">
        <v>609</v>
      </c>
      <c r="O180" s="30" t="s">
        <v>699</v>
      </c>
      <c r="P180" s="40">
        <v>2019</v>
      </c>
      <c r="Q180" s="30" t="s">
        <v>910</v>
      </c>
      <c r="R180" s="31">
        <v>607</v>
      </c>
      <c r="S180" s="43">
        <f t="shared" si="63"/>
        <v>607</v>
      </c>
      <c r="T180" s="32">
        <f t="shared" si="33"/>
        <v>4135.2015309999997</v>
      </c>
      <c r="U180" s="30" t="str">
        <f t="shared" si="34"/>
        <v>Cost-Effective</v>
      </c>
      <c r="V180" s="30" t="str">
        <f t="shared" si="35"/>
        <v>Cost-Effective</v>
      </c>
      <c r="W180" s="41">
        <f t="shared" si="36"/>
        <v>0.1467884927613701</v>
      </c>
      <c r="X180" s="55">
        <f t="shared" si="37"/>
        <v>0.23</v>
      </c>
      <c r="Y180" s="30" t="str">
        <f t="shared" si="38"/>
        <v>Cost-Effective</v>
      </c>
      <c r="Z180" s="55">
        <f t="shared" si="39"/>
        <v>0.16</v>
      </c>
      <c r="AA180" s="30" t="str">
        <f t="shared" si="43"/>
        <v>Cost-Effective</v>
      </c>
      <c r="AB180" s="55">
        <f t="shared" si="40"/>
        <v>0.49283550177804297</v>
      </c>
      <c r="AC180" s="30" t="str">
        <f t="shared" si="41"/>
        <v>Cost-Effective</v>
      </c>
      <c r="AD180" s="55">
        <f t="shared" si="42"/>
        <v>0.13024544055948281</v>
      </c>
      <c r="AE180" s="30" t="str">
        <f t="shared" si="44"/>
        <v>Not Cost-Effective</v>
      </c>
      <c r="AF180" s="126" t="s">
        <v>173</v>
      </c>
      <c r="AG180" s="30" t="s">
        <v>174</v>
      </c>
      <c r="AH180" s="30" t="s">
        <v>904</v>
      </c>
    </row>
    <row r="181" spans="1:34" ht="12.75" customHeight="1">
      <c r="A181" s="40">
        <f t="shared" si="45"/>
        <v>54</v>
      </c>
      <c r="B181" s="40">
        <f t="shared" si="46"/>
        <v>7</v>
      </c>
      <c r="C181" s="51" t="str">
        <f t="shared" si="47"/>
        <v>5407</v>
      </c>
      <c r="D181" s="30" t="s">
        <v>81</v>
      </c>
      <c r="E181" s="40">
        <v>2021</v>
      </c>
      <c r="F181" s="30" t="s">
        <v>82</v>
      </c>
      <c r="G181" s="9" t="s">
        <v>602</v>
      </c>
      <c r="H181" s="44" t="s">
        <v>911</v>
      </c>
      <c r="I181" s="40" t="s">
        <v>186</v>
      </c>
      <c r="J181" s="40" t="s">
        <v>151</v>
      </c>
      <c r="K181" s="49" t="s">
        <v>152</v>
      </c>
      <c r="L181" s="40">
        <v>3</v>
      </c>
      <c r="M181" s="40" t="s">
        <v>157</v>
      </c>
      <c r="N181" s="30" t="s">
        <v>604</v>
      </c>
      <c r="O181" s="30" t="s">
        <v>699</v>
      </c>
      <c r="P181" s="40">
        <v>2019</v>
      </c>
      <c r="Q181" s="30" t="s">
        <v>912</v>
      </c>
      <c r="R181" s="31">
        <v>718</v>
      </c>
      <c r="S181" s="43">
        <f t="shared" si="63"/>
        <v>718</v>
      </c>
      <c r="T181" s="32">
        <f t="shared" si="33"/>
        <v>4135.2015309999997</v>
      </c>
      <c r="U181" s="30" t="str">
        <f t="shared" si="34"/>
        <v>Cost-Effective</v>
      </c>
      <c r="V181" s="30" t="str">
        <f t="shared" si="35"/>
        <v>Cost-Effective</v>
      </c>
      <c r="W181" s="41">
        <f t="shared" si="36"/>
        <v>0.17363119901592047</v>
      </c>
      <c r="X181" s="55">
        <f t="shared" si="37"/>
        <v>0.23</v>
      </c>
      <c r="Y181" s="30" t="str">
        <f t="shared" si="38"/>
        <v>Cost-Effective</v>
      </c>
      <c r="Z181" s="55">
        <f t="shared" si="39"/>
        <v>0.16</v>
      </c>
      <c r="AA181" s="30" t="str">
        <f t="shared" si="43"/>
        <v>Not Cost-Effective</v>
      </c>
      <c r="AB181" s="55">
        <f t="shared" si="40"/>
        <v>0.49283550177804297</v>
      </c>
      <c r="AC181" s="30" t="str">
        <f t="shared" si="41"/>
        <v>Cost-Effective</v>
      </c>
      <c r="AD181" s="55">
        <f t="shared" si="42"/>
        <v>0.13024544055948281</v>
      </c>
      <c r="AE181" s="30" t="str">
        <f t="shared" si="44"/>
        <v>Not Cost-Effective</v>
      </c>
      <c r="AF181" s="126" t="s">
        <v>173</v>
      </c>
      <c r="AG181" s="30" t="s">
        <v>174</v>
      </c>
      <c r="AH181" s="30" t="s">
        <v>904</v>
      </c>
    </row>
    <row r="182" spans="1:34" ht="12.75" customHeight="1">
      <c r="A182" s="40">
        <f t="shared" si="45"/>
        <v>54</v>
      </c>
      <c r="B182" s="40">
        <f t="shared" si="46"/>
        <v>8</v>
      </c>
      <c r="C182" s="51" t="str">
        <f t="shared" si="47"/>
        <v>5408</v>
      </c>
      <c r="D182" s="30" t="s">
        <v>81</v>
      </c>
      <c r="E182" s="40">
        <v>2021</v>
      </c>
      <c r="F182" s="30" t="s">
        <v>82</v>
      </c>
      <c r="G182" s="9" t="s">
        <v>602</v>
      </c>
      <c r="H182" s="44" t="s">
        <v>911</v>
      </c>
      <c r="I182" s="40" t="s">
        <v>186</v>
      </c>
      <c r="J182" s="40" t="s">
        <v>151</v>
      </c>
      <c r="K182" s="49" t="s">
        <v>152</v>
      </c>
      <c r="L182" s="40">
        <v>3</v>
      </c>
      <c r="M182" s="40" t="s">
        <v>157</v>
      </c>
      <c r="N182" s="30" t="s">
        <v>887</v>
      </c>
      <c r="O182" s="30" t="s">
        <v>699</v>
      </c>
      <c r="P182" s="40">
        <v>2019</v>
      </c>
      <c r="Q182" s="30" t="s">
        <v>913</v>
      </c>
      <c r="R182" s="31">
        <v>810</v>
      </c>
      <c r="S182" s="43">
        <f t="shared" si="63"/>
        <v>810</v>
      </c>
      <c r="T182" s="32">
        <f t="shared" si="33"/>
        <v>4135.2015309999997</v>
      </c>
      <c r="U182" s="30" t="str">
        <f t="shared" si="34"/>
        <v>Cost-Effective</v>
      </c>
      <c r="V182" s="30" t="str">
        <f t="shared" si="35"/>
        <v>Cost-Effective</v>
      </c>
      <c r="W182" s="41">
        <f t="shared" si="36"/>
        <v>0.19587920780347576</v>
      </c>
      <c r="X182" s="55">
        <f t="shared" si="37"/>
        <v>0.23</v>
      </c>
      <c r="Y182" s="30" t="str">
        <f t="shared" si="38"/>
        <v>Cost-Effective</v>
      </c>
      <c r="Z182" s="55">
        <f t="shared" si="39"/>
        <v>0.16</v>
      </c>
      <c r="AA182" s="30" t="str">
        <f t="shared" si="43"/>
        <v>Not Cost-Effective</v>
      </c>
      <c r="AB182" s="55">
        <f t="shared" si="40"/>
        <v>0.49283550177804297</v>
      </c>
      <c r="AC182" s="30" t="str">
        <f t="shared" si="41"/>
        <v>Cost-Effective</v>
      </c>
      <c r="AD182" s="55">
        <f t="shared" si="42"/>
        <v>0.13024544055948281</v>
      </c>
      <c r="AE182" s="30" t="str">
        <f t="shared" si="44"/>
        <v>Not Cost-Effective</v>
      </c>
      <c r="AF182" s="126" t="s">
        <v>173</v>
      </c>
      <c r="AG182" s="30" t="s">
        <v>174</v>
      </c>
      <c r="AH182" s="30" t="s">
        <v>904</v>
      </c>
    </row>
    <row r="183" spans="1:34" ht="12.75" customHeight="1">
      <c r="A183" s="40">
        <f t="shared" si="45"/>
        <v>54</v>
      </c>
      <c r="B183" s="40">
        <f t="shared" si="46"/>
        <v>9</v>
      </c>
      <c r="C183" s="51" t="str">
        <f t="shared" si="47"/>
        <v>5409</v>
      </c>
      <c r="D183" s="30" t="s">
        <v>81</v>
      </c>
      <c r="E183" s="40">
        <v>2021</v>
      </c>
      <c r="F183" s="30" t="s">
        <v>82</v>
      </c>
      <c r="G183" s="9" t="s">
        <v>602</v>
      </c>
      <c r="H183" s="44" t="s">
        <v>911</v>
      </c>
      <c r="I183" s="40" t="s">
        <v>186</v>
      </c>
      <c r="J183" s="40" t="s">
        <v>151</v>
      </c>
      <c r="K183" s="49" t="s">
        <v>152</v>
      </c>
      <c r="L183" s="40">
        <v>3</v>
      </c>
      <c r="M183" s="40" t="s">
        <v>157</v>
      </c>
      <c r="N183" s="30" t="s">
        <v>609</v>
      </c>
      <c r="O183" s="30" t="s">
        <v>699</v>
      </c>
      <c r="P183" s="40">
        <v>2019</v>
      </c>
      <c r="Q183" s="30" t="s">
        <v>914</v>
      </c>
      <c r="R183" s="31">
        <v>978</v>
      </c>
      <c r="S183" s="43">
        <f t="shared" si="63"/>
        <v>978</v>
      </c>
      <c r="T183" s="32">
        <f t="shared" si="33"/>
        <v>4135.2015309999997</v>
      </c>
      <c r="U183" s="30" t="str">
        <f t="shared" si="34"/>
        <v>Cost-Effective</v>
      </c>
      <c r="V183" s="30" t="str">
        <f t="shared" si="35"/>
        <v>Cost-Effective</v>
      </c>
      <c r="W183" s="41">
        <f t="shared" si="36"/>
        <v>0.23650600645901146</v>
      </c>
      <c r="X183" s="55">
        <f t="shared" si="37"/>
        <v>0.23</v>
      </c>
      <c r="Y183" s="30" t="str">
        <f t="shared" si="38"/>
        <v>Not Cost-Effective</v>
      </c>
      <c r="Z183" s="55">
        <f t="shared" si="39"/>
        <v>0.16</v>
      </c>
      <c r="AA183" s="30" t="str">
        <f t="shared" si="43"/>
        <v>Not Cost-Effective</v>
      </c>
      <c r="AB183" s="55">
        <f t="shared" si="40"/>
        <v>0.49283550177804297</v>
      </c>
      <c r="AC183" s="30" t="str">
        <f t="shared" si="41"/>
        <v>Cost-Effective</v>
      </c>
      <c r="AD183" s="55">
        <f t="shared" si="42"/>
        <v>0.13024544055948281</v>
      </c>
      <c r="AE183" s="30" t="str">
        <f t="shared" si="44"/>
        <v>Not Cost-Effective</v>
      </c>
      <c r="AF183" s="126" t="s">
        <v>173</v>
      </c>
      <c r="AG183" s="30" t="s">
        <v>174</v>
      </c>
      <c r="AH183" s="30" t="s">
        <v>904</v>
      </c>
    </row>
    <row r="184" spans="1:34" ht="12.75" customHeight="1">
      <c r="A184" s="40">
        <f t="shared" si="45"/>
        <v>54</v>
      </c>
      <c r="B184" s="40">
        <f t="shared" si="46"/>
        <v>10</v>
      </c>
      <c r="C184" s="51" t="str">
        <f t="shared" si="47"/>
        <v>5410</v>
      </c>
      <c r="D184" s="30" t="s">
        <v>81</v>
      </c>
      <c r="E184" s="40">
        <v>2021</v>
      </c>
      <c r="F184" s="30" t="s">
        <v>82</v>
      </c>
      <c r="G184" s="9" t="s">
        <v>602</v>
      </c>
      <c r="H184" s="44" t="s">
        <v>915</v>
      </c>
      <c r="I184" s="40" t="s">
        <v>186</v>
      </c>
      <c r="J184" s="40" t="s">
        <v>151</v>
      </c>
      <c r="K184" s="49" t="s">
        <v>152</v>
      </c>
      <c r="L184" s="40">
        <v>3</v>
      </c>
      <c r="M184" s="40" t="s">
        <v>157</v>
      </c>
      <c r="N184" s="30" t="s">
        <v>604</v>
      </c>
      <c r="O184" s="30" t="s">
        <v>699</v>
      </c>
      <c r="P184" s="40">
        <v>2019</v>
      </c>
      <c r="Q184" s="30" t="s">
        <v>916</v>
      </c>
      <c r="R184" s="31">
        <v>1087</v>
      </c>
      <c r="S184" s="43">
        <f t="shared" si="63"/>
        <v>1087</v>
      </c>
      <c r="T184" s="32">
        <f t="shared" si="33"/>
        <v>4135.2015309999997</v>
      </c>
      <c r="U184" s="30" t="str">
        <f t="shared" si="34"/>
        <v>Cost-Effective</v>
      </c>
      <c r="V184" s="30" t="str">
        <f t="shared" si="35"/>
        <v>Cost-Effective</v>
      </c>
      <c r="W184" s="41">
        <f t="shared" si="36"/>
        <v>0.26286506034861501</v>
      </c>
      <c r="X184" s="55">
        <f t="shared" si="37"/>
        <v>0.23</v>
      </c>
      <c r="Y184" s="30" t="str">
        <f t="shared" si="38"/>
        <v>Not Cost-Effective</v>
      </c>
      <c r="Z184" s="55">
        <f t="shared" si="39"/>
        <v>0.16</v>
      </c>
      <c r="AA184" s="30" t="str">
        <f t="shared" si="43"/>
        <v>Not Cost-Effective</v>
      </c>
      <c r="AB184" s="55">
        <f t="shared" si="40"/>
        <v>0.49283550177804297</v>
      </c>
      <c r="AC184" s="30" t="str">
        <f t="shared" si="41"/>
        <v>Cost-Effective</v>
      </c>
      <c r="AD184" s="55">
        <f t="shared" si="42"/>
        <v>0.13024544055948281</v>
      </c>
      <c r="AE184" s="30" t="str">
        <f t="shared" si="44"/>
        <v>Not Cost-Effective</v>
      </c>
      <c r="AF184" s="126" t="s">
        <v>173</v>
      </c>
      <c r="AG184" s="30" t="s">
        <v>174</v>
      </c>
      <c r="AH184" s="30" t="s">
        <v>904</v>
      </c>
    </row>
    <row r="185" spans="1:34" ht="12.75" customHeight="1">
      <c r="A185" s="40">
        <f t="shared" si="45"/>
        <v>54</v>
      </c>
      <c r="B185" s="40">
        <f t="shared" si="46"/>
        <v>11</v>
      </c>
      <c r="C185" s="51" t="str">
        <f t="shared" si="47"/>
        <v>5411</v>
      </c>
      <c r="D185" s="30" t="s">
        <v>81</v>
      </c>
      <c r="E185" s="40">
        <v>2021</v>
      </c>
      <c r="F185" s="30" t="s">
        <v>82</v>
      </c>
      <c r="G185" s="9" t="s">
        <v>602</v>
      </c>
      <c r="H185" s="44" t="s">
        <v>917</v>
      </c>
      <c r="I185" s="40" t="s">
        <v>183</v>
      </c>
      <c r="J185" s="40" t="s">
        <v>151</v>
      </c>
      <c r="K185" s="49" t="s">
        <v>152</v>
      </c>
      <c r="L185" s="40">
        <v>3</v>
      </c>
      <c r="M185" s="40" t="s">
        <v>157</v>
      </c>
      <c r="N185" s="30" t="s">
        <v>153</v>
      </c>
      <c r="O185" s="30" t="s">
        <v>699</v>
      </c>
      <c r="P185" s="40">
        <v>2019</v>
      </c>
      <c r="Q185" s="30" t="s">
        <v>918</v>
      </c>
      <c r="R185" s="31">
        <v>1179</v>
      </c>
      <c r="S185" s="43">
        <f t="shared" si="63"/>
        <v>1179</v>
      </c>
      <c r="T185" s="32">
        <f t="shared" si="33"/>
        <v>4135.2015309999997</v>
      </c>
      <c r="U185" s="30" t="str">
        <f t="shared" si="34"/>
        <v>Cost-Effective</v>
      </c>
      <c r="V185" s="30" t="str">
        <f t="shared" si="35"/>
        <v>Cost-Effective</v>
      </c>
      <c r="W185" s="41">
        <f t="shared" si="36"/>
        <v>0.28511306913617024</v>
      </c>
      <c r="X185" s="55">
        <f t="shared" si="37"/>
        <v>0.23</v>
      </c>
      <c r="Y185" s="30" t="str">
        <f t="shared" si="38"/>
        <v>Not Cost-Effective</v>
      </c>
      <c r="Z185" s="55">
        <f t="shared" si="39"/>
        <v>0.16</v>
      </c>
      <c r="AA185" s="30" t="str">
        <f t="shared" si="43"/>
        <v>Not Cost-Effective</v>
      </c>
      <c r="AB185" s="55">
        <f t="shared" si="40"/>
        <v>0.49283550177804297</v>
      </c>
      <c r="AC185" s="30" t="str">
        <f t="shared" si="41"/>
        <v>Cost-Effective</v>
      </c>
      <c r="AD185" s="55">
        <f t="shared" si="42"/>
        <v>0.13024544055948281</v>
      </c>
      <c r="AE185" s="30" t="str">
        <f t="shared" si="44"/>
        <v>Not Cost-Effective</v>
      </c>
      <c r="AF185" s="126" t="s">
        <v>173</v>
      </c>
      <c r="AG185" s="30" t="s">
        <v>174</v>
      </c>
      <c r="AH185" s="30" t="s">
        <v>904</v>
      </c>
    </row>
    <row r="186" spans="1:34" ht="12.75" customHeight="1">
      <c r="A186" s="40">
        <f t="shared" si="45"/>
        <v>54</v>
      </c>
      <c r="B186" s="40">
        <f t="shared" si="46"/>
        <v>12</v>
      </c>
      <c r="C186" s="51" t="str">
        <f t="shared" si="47"/>
        <v>5412</v>
      </c>
      <c r="D186" s="30" t="s">
        <v>81</v>
      </c>
      <c r="E186" s="40">
        <v>2021</v>
      </c>
      <c r="F186" s="30" t="s">
        <v>82</v>
      </c>
      <c r="G186" s="9" t="s">
        <v>602</v>
      </c>
      <c r="H186" s="44" t="s">
        <v>917</v>
      </c>
      <c r="I186" s="40" t="s">
        <v>183</v>
      </c>
      <c r="J186" s="40" t="s">
        <v>151</v>
      </c>
      <c r="K186" s="49" t="s">
        <v>152</v>
      </c>
      <c r="L186" s="40">
        <v>3</v>
      </c>
      <c r="M186" s="40" t="s">
        <v>157</v>
      </c>
      <c r="N186" s="30" t="s">
        <v>609</v>
      </c>
      <c r="O186" s="30" t="s">
        <v>699</v>
      </c>
      <c r="P186" s="40">
        <v>2019</v>
      </c>
      <c r="Q186" s="30" t="s">
        <v>919</v>
      </c>
      <c r="R186" s="31">
        <v>1248</v>
      </c>
      <c r="S186" s="43">
        <f t="shared" si="63"/>
        <v>1248</v>
      </c>
      <c r="T186" s="32">
        <f t="shared" si="33"/>
        <v>4135.2015309999997</v>
      </c>
      <c r="U186" s="30" t="str">
        <f t="shared" si="34"/>
        <v>Cost-Effective</v>
      </c>
      <c r="V186" s="30" t="str">
        <f t="shared" si="35"/>
        <v>Cost-Effective</v>
      </c>
      <c r="W186" s="41">
        <f t="shared" si="36"/>
        <v>0.30179907572683673</v>
      </c>
      <c r="X186" s="55">
        <f t="shared" si="37"/>
        <v>0.23</v>
      </c>
      <c r="Y186" s="30" t="str">
        <f t="shared" si="38"/>
        <v>Not Cost-Effective</v>
      </c>
      <c r="Z186" s="55">
        <f t="shared" si="39"/>
        <v>0.16</v>
      </c>
      <c r="AA186" s="30" t="str">
        <f t="shared" si="43"/>
        <v>Not Cost-Effective</v>
      </c>
      <c r="AB186" s="55">
        <f t="shared" si="40"/>
        <v>0.49283550177804297</v>
      </c>
      <c r="AC186" s="30" t="str">
        <f t="shared" si="41"/>
        <v>Cost-Effective</v>
      </c>
      <c r="AD186" s="55">
        <f t="shared" si="42"/>
        <v>0.13024544055948281</v>
      </c>
      <c r="AE186" s="30" t="str">
        <f t="shared" si="44"/>
        <v>Not Cost-Effective</v>
      </c>
      <c r="AF186" s="126" t="s">
        <v>173</v>
      </c>
      <c r="AG186" s="30" t="s">
        <v>174</v>
      </c>
      <c r="AH186" s="30" t="s">
        <v>904</v>
      </c>
    </row>
    <row r="187" spans="1:34" ht="12.75" customHeight="1">
      <c r="A187" s="40">
        <f t="shared" si="45"/>
        <v>55</v>
      </c>
      <c r="B187" s="40">
        <f t="shared" si="46"/>
        <v>1</v>
      </c>
      <c r="C187" s="51" t="str">
        <f t="shared" si="47"/>
        <v>5501</v>
      </c>
      <c r="D187" s="30" t="s">
        <v>83</v>
      </c>
      <c r="E187" s="40">
        <v>2021</v>
      </c>
      <c r="F187" s="30" t="s">
        <v>84</v>
      </c>
      <c r="G187" s="9" t="s">
        <v>147</v>
      </c>
      <c r="H187" s="44" t="s">
        <v>625</v>
      </c>
      <c r="I187" s="40" t="s">
        <v>186</v>
      </c>
      <c r="J187" s="40" t="s">
        <v>151</v>
      </c>
      <c r="K187" s="49" t="s">
        <v>166</v>
      </c>
      <c r="L187" s="40">
        <v>4</v>
      </c>
      <c r="M187" s="124" t="s">
        <v>148</v>
      </c>
      <c r="N187" s="30" t="s">
        <v>887</v>
      </c>
      <c r="O187" s="30" t="s">
        <v>920</v>
      </c>
      <c r="P187" s="40">
        <v>2019</v>
      </c>
      <c r="Q187" s="30" t="s">
        <v>921</v>
      </c>
      <c r="R187" s="31">
        <v>15394</v>
      </c>
      <c r="S187" s="43">
        <f t="shared" si="63"/>
        <v>15394</v>
      </c>
      <c r="T187" s="32">
        <f t="shared" si="33"/>
        <v>10143.838170000001</v>
      </c>
      <c r="U187" s="30" t="str">
        <f t="shared" si="34"/>
        <v>Not Cost-Effective</v>
      </c>
      <c r="V187" s="30" t="str">
        <f t="shared" si="35"/>
        <v>Cost-Effective</v>
      </c>
      <c r="W187" s="41">
        <f t="shared" si="36"/>
        <v>1.5175715288446876</v>
      </c>
      <c r="X187" s="55">
        <f t="shared" si="37"/>
        <v>0.71</v>
      </c>
      <c r="Y187" s="30" t="str">
        <f t="shared" si="38"/>
        <v>Not Cost-Effective</v>
      </c>
      <c r="Z187" s="55">
        <f t="shared" si="39"/>
        <v>0.45</v>
      </c>
      <c r="AA187" s="30" t="str">
        <f t="shared" si="43"/>
        <v>Not Cost-Effective</v>
      </c>
      <c r="AB187" s="55">
        <f t="shared" si="40"/>
        <v>0.6481168977852142</v>
      </c>
      <c r="AC187" s="30" t="str">
        <f t="shared" si="41"/>
        <v>Not Cost-Effective</v>
      </c>
      <c r="AD187" s="55">
        <f t="shared" si="42"/>
        <v>0.16395220864852342</v>
      </c>
      <c r="AE187" s="30" t="str">
        <f t="shared" si="44"/>
        <v>Not Cost-Effective</v>
      </c>
      <c r="AF187" s="30" t="s">
        <v>173</v>
      </c>
      <c r="AG187" s="30" t="s">
        <v>174</v>
      </c>
    </row>
    <row r="188" spans="1:34" ht="12.75" customHeight="1">
      <c r="A188" s="40">
        <f t="shared" si="45"/>
        <v>55</v>
      </c>
      <c r="B188" s="40">
        <f t="shared" si="46"/>
        <v>2</v>
      </c>
      <c r="C188" s="51" t="str">
        <f t="shared" si="47"/>
        <v>5502</v>
      </c>
      <c r="D188" s="30" t="s">
        <v>83</v>
      </c>
      <c r="E188" s="40">
        <v>2021</v>
      </c>
      <c r="F188" s="30" t="s">
        <v>84</v>
      </c>
      <c r="G188" s="9" t="s">
        <v>147</v>
      </c>
      <c r="H188" s="44" t="s">
        <v>625</v>
      </c>
      <c r="I188" s="40" t="s">
        <v>186</v>
      </c>
      <c r="J188" s="40" t="s">
        <v>151</v>
      </c>
      <c r="K188" s="49" t="s">
        <v>331</v>
      </c>
      <c r="L188" s="40">
        <v>3</v>
      </c>
      <c r="M188" s="124" t="s">
        <v>148</v>
      </c>
      <c r="N188" s="30" t="s">
        <v>887</v>
      </c>
      <c r="O188" s="30" t="s">
        <v>920</v>
      </c>
      <c r="P188" s="40">
        <v>2019</v>
      </c>
      <c r="Q188" s="30" t="s">
        <v>922</v>
      </c>
      <c r="R188" s="125">
        <v>9292</v>
      </c>
      <c r="S188" s="43">
        <f t="shared" si="63"/>
        <v>9292</v>
      </c>
      <c r="T188" s="32">
        <f t="shared" si="33"/>
        <v>10143.838170000001</v>
      </c>
      <c r="U188" s="30" t="str">
        <f t="shared" si="34"/>
        <v>Cost-Effective</v>
      </c>
      <c r="V188" s="30" t="str">
        <f t="shared" si="35"/>
        <v>Cost-Effective</v>
      </c>
      <c r="W188" s="41">
        <f t="shared" si="36"/>
        <v>0.91602407730445878</v>
      </c>
      <c r="X188" s="55">
        <f t="shared" si="37"/>
        <v>0.71</v>
      </c>
      <c r="Y188" s="126" t="str">
        <f t="shared" si="38"/>
        <v>Not Cost-Effective</v>
      </c>
      <c r="Z188" s="55">
        <f t="shared" si="39"/>
        <v>0.45</v>
      </c>
      <c r="AA188" s="126" t="str">
        <f t="shared" si="43"/>
        <v>Not Cost-Effective</v>
      </c>
      <c r="AB188" s="55">
        <f t="shared" si="40"/>
        <v>0.6481168977852142</v>
      </c>
      <c r="AC188" s="30" t="str">
        <f t="shared" si="41"/>
        <v>Not Cost-Effective</v>
      </c>
      <c r="AD188" s="55">
        <f t="shared" si="42"/>
        <v>0.16395220864852342</v>
      </c>
      <c r="AE188" s="30" t="str">
        <f t="shared" si="44"/>
        <v>Not Cost-Effective</v>
      </c>
      <c r="AF188" s="30" t="s">
        <v>173</v>
      </c>
      <c r="AG188" s="30" t="s">
        <v>174</v>
      </c>
    </row>
    <row r="189" spans="1:34" ht="12.75" customHeight="1">
      <c r="A189" s="40">
        <f t="shared" si="45"/>
        <v>55</v>
      </c>
      <c r="B189" s="40">
        <f t="shared" si="46"/>
        <v>3</v>
      </c>
      <c r="C189" s="51" t="str">
        <f t="shared" si="47"/>
        <v>5503</v>
      </c>
      <c r="D189" s="30" t="s">
        <v>83</v>
      </c>
      <c r="E189" s="40">
        <v>2021</v>
      </c>
      <c r="F189" s="30" t="s">
        <v>84</v>
      </c>
      <c r="G189" s="9" t="s">
        <v>147</v>
      </c>
      <c r="H189" s="44" t="s">
        <v>625</v>
      </c>
      <c r="I189" s="40" t="s">
        <v>186</v>
      </c>
      <c r="J189" s="40" t="s">
        <v>151</v>
      </c>
      <c r="K189" s="49" t="s">
        <v>383</v>
      </c>
      <c r="L189" s="40">
        <v>2</v>
      </c>
      <c r="M189" s="124" t="s">
        <v>148</v>
      </c>
      <c r="N189" s="30" t="s">
        <v>887</v>
      </c>
      <c r="O189" s="30" t="s">
        <v>920</v>
      </c>
      <c r="P189" s="40">
        <v>2019</v>
      </c>
      <c r="Q189" s="30" t="s">
        <v>923</v>
      </c>
      <c r="R189" s="125">
        <v>4445</v>
      </c>
      <c r="S189" s="43">
        <f t="shared" si="63"/>
        <v>4445</v>
      </c>
      <c r="T189" s="32">
        <f t="shared" si="33"/>
        <v>10143.838170000001</v>
      </c>
      <c r="U189" s="30" t="str">
        <f t="shared" si="34"/>
        <v>Cost-Effective</v>
      </c>
      <c r="V189" s="30" t="str">
        <f t="shared" si="35"/>
        <v>Cost-Effective</v>
      </c>
      <c r="W189" s="41">
        <f t="shared" si="36"/>
        <v>0.43819705376865248</v>
      </c>
      <c r="X189" s="55">
        <f t="shared" si="37"/>
        <v>0.71</v>
      </c>
      <c r="Y189" s="30" t="str">
        <f t="shared" si="38"/>
        <v>Cost-Effective</v>
      </c>
      <c r="Z189" s="55">
        <f t="shared" si="39"/>
        <v>0.45</v>
      </c>
      <c r="AA189" s="30" t="str">
        <f t="shared" si="43"/>
        <v>Cost-Effective</v>
      </c>
      <c r="AB189" s="55">
        <f t="shared" si="40"/>
        <v>0.6481168977852142</v>
      </c>
      <c r="AC189" s="30" t="str">
        <f t="shared" si="41"/>
        <v>Cost-Effective</v>
      </c>
      <c r="AD189" s="55">
        <f t="shared" si="42"/>
        <v>0.16395220864852342</v>
      </c>
      <c r="AE189" s="30" t="str">
        <f t="shared" si="44"/>
        <v>Not Cost-Effective</v>
      </c>
      <c r="AF189" s="30" t="s">
        <v>173</v>
      </c>
      <c r="AG189" s="30" t="s">
        <v>174</v>
      </c>
    </row>
    <row r="190" spans="1:34" ht="12.75" customHeight="1">
      <c r="A190" s="40">
        <f t="shared" si="45"/>
        <v>55</v>
      </c>
      <c r="B190" s="40">
        <f t="shared" si="46"/>
        <v>4</v>
      </c>
      <c r="C190" s="51" t="str">
        <f t="shared" si="47"/>
        <v>5504</v>
      </c>
      <c r="D190" s="30" t="s">
        <v>83</v>
      </c>
      <c r="E190" s="40">
        <v>2021</v>
      </c>
      <c r="F190" s="30" t="s">
        <v>84</v>
      </c>
      <c r="G190" s="9" t="s">
        <v>147</v>
      </c>
      <c r="H190" s="44" t="s">
        <v>625</v>
      </c>
      <c r="I190" s="40" t="s">
        <v>186</v>
      </c>
      <c r="J190" s="40" t="s">
        <v>151</v>
      </c>
      <c r="K190" s="49" t="s">
        <v>392</v>
      </c>
      <c r="L190" s="40">
        <v>1</v>
      </c>
      <c r="M190" s="124" t="s">
        <v>148</v>
      </c>
      <c r="N190" s="30" t="s">
        <v>887</v>
      </c>
      <c r="O190" s="30" t="s">
        <v>920</v>
      </c>
      <c r="P190" s="40">
        <v>2019</v>
      </c>
      <c r="Q190" s="30" t="s">
        <v>924</v>
      </c>
      <c r="R190" s="125">
        <v>2417</v>
      </c>
      <c r="S190" s="43">
        <f t="shared" si="63"/>
        <v>2417</v>
      </c>
      <c r="T190" s="32">
        <f t="shared" si="33"/>
        <v>10143.838170000001</v>
      </c>
      <c r="U190" s="30" t="str">
        <f t="shared" si="34"/>
        <v>Cost-Effective</v>
      </c>
      <c r="V190" s="30" t="str">
        <f t="shared" si="35"/>
        <v>Cost-Effective</v>
      </c>
      <c r="W190" s="41">
        <f t="shared" si="36"/>
        <v>0.23827272867465313</v>
      </c>
      <c r="X190" s="55">
        <f t="shared" si="37"/>
        <v>0.71</v>
      </c>
      <c r="Y190" s="30" t="str">
        <f t="shared" si="38"/>
        <v>Cost-Effective</v>
      </c>
      <c r="Z190" s="55">
        <f t="shared" si="39"/>
        <v>0.45</v>
      </c>
      <c r="AA190" s="30" t="str">
        <f t="shared" si="43"/>
        <v>Cost-Effective</v>
      </c>
      <c r="AB190" s="55">
        <f t="shared" si="40"/>
        <v>0.6481168977852142</v>
      </c>
      <c r="AC190" s="30" t="str">
        <f t="shared" si="41"/>
        <v>Cost-Effective</v>
      </c>
      <c r="AD190" s="55">
        <f t="shared" si="42"/>
        <v>0.16395220864852342</v>
      </c>
      <c r="AE190" s="30" t="str">
        <f t="shared" si="44"/>
        <v>Not Cost-Effective</v>
      </c>
      <c r="AF190" s="30" t="s">
        <v>173</v>
      </c>
      <c r="AG190" s="30" t="s">
        <v>174</v>
      </c>
    </row>
    <row r="193" spans="6:8" ht="12.75" customHeight="1">
      <c r="F193" s="126" t="s">
        <v>925</v>
      </c>
    </row>
    <row r="194" spans="6:8" ht="12.75" customHeight="1">
      <c r="H194" s="30" t="str">
        <f>TRIM(F174)</f>
        <v>Cost-effectiveness analysis of replacing the 10-valent pneumococcal conjugate vaccine (PCV10) with the 13-valent pneumococcal conjugate vaccine (PCV13) in Brazil infants.</v>
      </c>
    </row>
    <row r="195" spans="6:8" ht="12.75" customHeight="1">
      <c r="H195" s="30" t="str">
        <f t="shared" ref="H195:H210" si="64">TRIM(F175)</f>
        <v>Cost-Effectiveness and Budget Impact Analyses of Pneumococcal Vaccination in Indonesia.</v>
      </c>
    </row>
    <row r="196" spans="6:8" ht="12.75" customHeight="1">
      <c r="H196" s="30" t="str">
        <f t="shared" si="64"/>
        <v>Cost-Effectiveness and Budget Impact Analyses of Pneumococcal Vaccination in Indonesia.</v>
      </c>
    </row>
    <row r="197" spans="6:8" ht="12.75" customHeight="1">
      <c r="H197" s="30" t="str">
        <f t="shared" si="64"/>
        <v>Cost-Effectiveness and Budget Impact Analyses of Pneumococcal Vaccination in Indonesia.</v>
      </c>
    </row>
    <row r="198" spans="6:8" ht="12.75" customHeight="1">
      <c r="H198" s="30" t="str">
        <f t="shared" si="64"/>
        <v>Cost-Effectiveness and Budget Impact Analyses of Pneumococcal Vaccination in Indonesia.</v>
      </c>
    </row>
    <row r="199" spans="6:8" ht="12.75" customHeight="1">
      <c r="F199" s="37" t="s">
        <v>926</v>
      </c>
      <c r="H199" s="30" t="str">
        <f t="shared" si="64"/>
        <v>Cost-Effectiveness and Budget Impact Analyses of Pneumococcal Vaccination in Indonesia.</v>
      </c>
    </row>
    <row r="200" spans="6:8" ht="12.75" customHeight="1">
      <c r="F200" s="30" t="s">
        <v>927</v>
      </c>
      <c r="H200" s="30" t="str">
        <f t="shared" si="64"/>
        <v>Cost-Effectiveness and Budget Impact Analyses of Pneumococcal Vaccination in Indonesia.</v>
      </c>
    </row>
    <row r="201" spans="6:8" ht="12.75" customHeight="1">
      <c r="F201" s="30" t="s">
        <v>928</v>
      </c>
      <c r="G201" s="30" t="s">
        <v>929</v>
      </c>
      <c r="H201" s="30" t="str">
        <f t="shared" si="64"/>
        <v>Cost-Effectiveness and Budget Impact Analyses of Pneumococcal Vaccination in Indonesia.</v>
      </c>
    </row>
    <row r="202" spans="6:8" ht="12.75" customHeight="1">
      <c r="F202" s="30" t="s">
        <v>930</v>
      </c>
      <c r="G202" s="30" t="s">
        <v>929</v>
      </c>
      <c r="H202" s="30" t="str">
        <f t="shared" si="64"/>
        <v>Cost-Effectiveness and Budget Impact Analyses of Pneumococcal Vaccination in Indonesia.</v>
      </c>
    </row>
    <row r="203" spans="6:8" ht="12.75" customHeight="1">
      <c r="F203" s="30" t="s">
        <v>931</v>
      </c>
      <c r="G203" s="30" t="s">
        <v>929</v>
      </c>
      <c r="H203" s="30" t="str">
        <f t="shared" si="64"/>
        <v>Cost-Effectiveness and Budget Impact Analyses of Pneumococcal Vaccination in Indonesia.</v>
      </c>
    </row>
    <row r="204" spans="6:8" ht="12.75" customHeight="1">
      <c r="F204" s="30" t="s">
        <v>932</v>
      </c>
      <c r="G204" s="30" t="s">
        <v>929</v>
      </c>
      <c r="H204" s="30" t="str">
        <f t="shared" si="64"/>
        <v>Cost-Effectiveness and Budget Impact Analyses of Pneumococcal Vaccination in Indonesia.</v>
      </c>
    </row>
    <row r="205" spans="6:8" ht="12.75" customHeight="1">
      <c r="G205" s="30" t="s">
        <v>929</v>
      </c>
      <c r="H205" s="30" t="str">
        <f t="shared" si="64"/>
        <v>Cost-Effectiveness and Budget Impact Analyses of Pneumococcal Vaccination in Indonesia.</v>
      </c>
    </row>
    <row r="206" spans="6:8" ht="12.75" customHeight="1">
      <c r="F206" s="30" t="s">
        <v>933</v>
      </c>
      <c r="H206" s="30" t="str">
        <f t="shared" si="64"/>
        <v>Cost-Effectiveness and Budget Impact Analyses of Pneumococcal Vaccination in Indonesia.</v>
      </c>
    </row>
    <row r="207" spans="6:8" ht="12.75" customHeight="1">
      <c r="H207" s="30" t="str">
        <f t="shared" si="64"/>
        <v>Cost-effectiveness analysis of domestic 13-valent pneumococcal conjugate vaccine for children under 5 years of age in mainland China.</v>
      </c>
    </row>
    <row r="208" spans="6:8" ht="12.75" customHeight="1">
      <c r="F208" s="30" t="s">
        <v>934</v>
      </c>
      <c r="H208" s="30" t="str">
        <f t="shared" si="64"/>
        <v>Cost-effectiveness analysis of domestic 13-valent pneumococcal conjugate vaccine for children under 5 years of age in mainland China.</v>
      </c>
    </row>
    <row r="209" spans="6:8" ht="12.75" customHeight="1">
      <c r="F209" s="59" t="s">
        <v>12</v>
      </c>
      <c r="H209" s="30" t="str">
        <f t="shared" si="64"/>
        <v>Cost-effectiveness analysis of domestic 13-valent pneumococcal conjugate vaccine for children under 5 years of age in mainland China.</v>
      </c>
    </row>
    <row r="210" spans="6:8" ht="12.75" customHeight="1">
      <c r="H210" s="30" t="str">
        <f t="shared" si="64"/>
        <v>Cost-effectiveness analysis of domestic 13-valent pneumococcal conjugate vaccine for children under 5 years of age in mainland China.</v>
      </c>
    </row>
    <row r="212" spans="6:8" ht="12.75" customHeight="1">
      <c r="F212" s="123" t="s">
        <v>935</v>
      </c>
    </row>
    <row r="213" spans="6:8" ht="12.75" customHeight="1">
      <c r="F213" s="123" t="s">
        <v>936</v>
      </c>
    </row>
    <row r="214" spans="6:8" ht="12.75" customHeight="1">
      <c r="F214" s="30" t="s">
        <v>937</v>
      </c>
    </row>
  </sheetData>
  <autoFilter ref="A1:AG190" xr:uid="{2D6F23DF-7EEB-4A10-8E63-6E12F5A80993}">
    <sortState xmlns:xlrd2="http://schemas.microsoft.com/office/spreadsheetml/2017/richdata2" ref="A2:AG98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36C8-9530-4B9B-A222-2277762D264B}">
  <sheetPr codeName="Sheet7"/>
  <dimension ref="A1:AH38"/>
  <sheetViews>
    <sheetView zoomScaleNormal="100" workbookViewId="0">
      <selection activeCell="S37" sqref="S37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17" width="8.83203125" style="1" customWidth="1"/>
    <col min="18" max="18" width="11" style="1" bestFit="1" customWidth="1"/>
    <col min="19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K1" s="28"/>
      <c r="L1" s="28"/>
      <c r="M1" s="28"/>
      <c r="R1" s="23"/>
      <c r="V1" s="23"/>
      <c r="Z1" s="23"/>
      <c r="AD1" s="23"/>
    </row>
    <row r="2" spans="1:34">
      <c r="E2" s="210" t="s">
        <v>938</v>
      </c>
      <c r="F2" s="210"/>
      <c r="G2" s="210"/>
      <c r="H2" s="211" t="s">
        <v>939</v>
      </c>
      <c r="I2" s="211"/>
      <c r="J2" s="211"/>
      <c r="K2" s="214" t="s">
        <v>940</v>
      </c>
      <c r="L2" s="214"/>
      <c r="M2" s="214"/>
      <c r="N2" s="214"/>
      <c r="O2" s="212" t="s">
        <v>941</v>
      </c>
      <c r="P2" s="212"/>
      <c r="Q2" s="212"/>
      <c r="R2" s="212"/>
      <c r="S2" s="212" t="s">
        <v>942</v>
      </c>
      <c r="T2" s="212"/>
      <c r="U2" s="212"/>
      <c r="V2" s="212"/>
      <c r="W2" s="213" t="s">
        <v>943</v>
      </c>
      <c r="X2" s="213"/>
      <c r="Y2" s="213"/>
      <c r="Z2" s="213"/>
      <c r="AA2" s="213" t="s">
        <v>944</v>
      </c>
      <c r="AB2" s="213"/>
      <c r="AC2" s="213"/>
      <c r="AD2" s="213"/>
    </row>
    <row r="3" spans="1:34">
      <c r="A3" s="1" t="s">
        <v>945</v>
      </c>
      <c r="B3" s="1" t="s">
        <v>672</v>
      </c>
      <c r="C3" s="1" t="s">
        <v>946</v>
      </c>
      <c r="D3" s="98" t="s">
        <v>11</v>
      </c>
      <c r="E3" s="99" t="s">
        <v>148</v>
      </c>
      <c r="F3" s="99" t="s">
        <v>157</v>
      </c>
      <c r="G3" s="99" t="s">
        <v>947</v>
      </c>
      <c r="H3" s="100" t="s">
        <v>148</v>
      </c>
      <c r="I3" s="100" t="s">
        <v>157</v>
      </c>
      <c r="J3" s="100" t="s">
        <v>947</v>
      </c>
      <c r="K3" s="103" t="s">
        <v>148</v>
      </c>
      <c r="L3" s="103" t="s">
        <v>157</v>
      </c>
      <c r="M3" s="103" t="s">
        <v>948</v>
      </c>
      <c r="N3" s="103" t="s">
        <v>947</v>
      </c>
      <c r="O3" s="101" t="s">
        <v>148</v>
      </c>
      <c r="P3" s="101" t="s">
        <v>157</v>
      </c>
      <c r="Q3" s="101" t="s">
        <v>948</v>
      </c>
      <c r="R3" s="101" t="s">
        <v>947</v>
      </c>
      <c r="S3" s="101" t="s">
        <v>148</v>
      </c>
      <c r="T3" s="101" t="s">
        <v>157</v>
      </c>
      <c r="U3" s="101" t="s">
        <v>948</v>
      </c>
      <c r="V3" s="101" t="s">
        <v>947</v>
      </c>
      <c r="W3" s="102" t="s">
        <v>148</v>
      </c>
      <c r="X3" s="102" t="s">
        <v>157</v>
      </c>
      <c r="Y3" s="102" t="s">
        <v>948</v>
      </c>
      <c r="Z3" s="102" t="s">
        <v>947</v>
      </c>
      <c r="AA3" s="102" t="s">
        <v>148</v>
      </c>
      <c r="AB3" s="102" t="s">
        <v>157</v>
      </c>
      <c r="AC3" s="102" t="s">
        <v>948</v>
      </c>
      <c r="AD3" s="102" t="s">
        <v>947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COUNTIFS(data!$K$2:$K$191,A4,data!$L$2:$L$191,B4)</f>
        <v>24</v>
      </c>
      <c r="E4" s="80">
        <f>COUNTIFS(data!$K$2:$K$191,A4,data!$L$2:$L$191,B4,data!$AP$2:$AP$191,"Cost-Effective")</f>
        <v>15</v>
      </c>
      <c r="F4" s="80">
        <f>COUNTIFS(data!$K$2:$K$191,A4,data!$L$2:$L$191,B4,data!$AP$2:$AP$191,"Not Cost-Effective")</f>
        <v>9</v>
      </c>
      <c r="G4" s="81">
        <f t="shared" ref="G4:G11" si="0">E4/$D4</f>
        <v>0.625</v>
      </c>
      <c r="H4" s="78">
        <f>COUNTIFS(data!$K$2:$K$191,A4,data!$L$2:$L$191,B4,data!$AQ$2:$AQ$191,"Cost-Effective")</f>
        <v>20</v>
      </c>
      <c r="I4" s="78">
        <f>COUNTIFS(data!$K$2:$K$191,A4,data!$L$2:$L$191,B4,data!$AQ$2:$AQ$191,"Not Cost-Effective")</f>
        <v>4</v>
      </c>
      <c r="J4" s="79">
        <f t="shared" ref="J4:J11" si="1">H4/$D4</f>
        <v>0.83333333333333337</v>
      </c>
      <c r="K4" s="86">
        <f>COUNTIFS(data!$K$2:$K$191,A4,data!$L$2:$L$191,B4,data!$BF$2:$BF$191,"Cost-Effective")+COUNTIFS(data!$K$2:$K$191,A4,data!$L$2:$L$191,B4,data!$BF$2:$BF$191,"Cost-Saving")</f>
        <v>20</v>
      </c>
      <c r="L4" s="86">
        <f>COUNTIFS(data!$K$2:$K$191,A4,data!$L$2:$L$191,B4,data!$BF$2:$BF$191,"Not Cost-Effective")</f>
        <v>4</v>
      </c>
      <c r="M4" s="86">
        <f>COUNTIFS(data!$K$2:$K$191,A4,data!$L$2:$L$191,B4,data!$BF$2:$BF$191,"No Threshold")</f>
        <v>0</v>
      </c>
      <c r="N4" s="87">
        <f t="shared" ref="N4:N10" si="2">K4/$D4</f>
        <v>0.83333333333333337</v>
      </c>
      <c r="O4" s="82">
        <f>COUNTIFS(data!$K$2:$K$191,A4,data!$L$2:$L$191,B4,data!$AT$2:$AT$191,"Cost-Effective")</f>
        <v>11</v>
      </c>
      <c r="P4" s="82">
        <f>COUNTIFS(data!$K$2:$K$191,A4,data!$L$2:$L$191,B4,data!$AT$2:$AT$191,"Not Cost-Effective")</f>
        <v>11</v>
      </c>
      <c r="Q4" s="82">
        <f>COUNTIFS(data!$K$2:$K$191,A4,data!$L$2:$L$191,B4,data!$AT$2:$AT$191,"No Threshold")</f>
        <v>0</v>
      </c>
      <c r="R4" s="83">
        <f t="shared" ref="R4:R11" si="3">O4/$D4</f>
        <v>0.45833333333333331</v>
      </c>
      <c r="S4" s="82">
        <f>COUNTIFS(data!$K$2:$K$191,A4,data!$L$2:$L$191,B4,data!$AV$2:$AV$191,"Cost-Effective")</f>
        <v>10</v>
      </c>
      <c r="T4" s="82">
        <f>COUNTIFS(data!$K$2:$K$191,A4,data!$L$2:$L$191,B4,data!$AV$2:$AV$191,"Not Cost-Effective")</f>
        <v>12</v>
      </c>
      <c r="U4" s="82">
        <f>COUNTIFS(data!$K$2:$K$191,A4,data!$L$2:$L$191,B4,data!$AV$2:$AV$191,"No Threshold")</f>
        <v>0</v>
      </c>
      <c r="V4" s="83">
        <f t="shared" ref="V4:V11" si="4">S4/$D4</f>
        <v>0.41666666666666669</v>
      </c>
      <c r="W4" s="84">
        <f>COUNTIFS(data!$K$2:$K$191,A4,data!$L$2:$L$191,B4,data!$AX$2:$AX$191,"Cost-Effective")</f>
        <v>10</v>
      </c>
      <c r="X4" s="84">
        <f>COUNTIFS(data!$K$2:$K$191,A4,data!$L$2:$L$191,B4,data!$AX$2:$AX$191,"Not Cost-Effective")</f>
        <v>10</v>
      </c>
      <c r="Y4" s="84">
        <f>COUNTIFS(data!$K$2:$K$191,A4,data!$L$2:$L$191,B4,data!$AX$2:$AX$191,"No Threshold")</f>
        <v>0</v>
      </c>
      <c r="Z4" s="85">
        <f t="shared" ref="Z4:Z11" si="5">W4/$D4</f>
        <v>0.41666666666666669</v>
      </c>
      <c r="AA4" s="84">
        <f>COUNTIFS(data!$K$2:$K$191,A4,data!$L$2:$L$191,B4,data!$AZ$2:$AZ$191,"Cost-Effective")</f>
        <v>3</v>
      </c>
      <c r="AB4" s="84">
        <f>COUNTIFS(data!$K$2:$K$191,A4,data!$L$2:$L$191,B4,data!$AZ$2:$AZ$191,"Not Cost-Effective")</f>
        <v>17</v>
      </c>
      <c r="AC4" s="84">
        <f>COUNTIFS(data!$K$2:$K$191,A4,data!$L$2:$L$191,B4,data!$AZ$2:$AZ$191,"No Threshold")</f>
        <v>0</v>
      </c>
      <c r="AD4" s="85">
        <f t="shared" ref="AD4:AD11" si="6">AA4/$D4</f>
        <v>0.125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COUNTIFS(data!$K$2:$K$191,A5,data!$L$2:$L$191,B5)</f>
        <v>74</v>
      </c>
      <c r="E5" s="80">
        <f>COUNTIFS(data!$K$2:$K$191,A5,data!$L$2:$L$191,B5,data!$AP$2:$AP$191,"Cost-Effective")</f>
        <v>55</v>
      </c>
      <c r="F5" s="80">
        <f>COUNTIFS(data!$K$2:$K$191,A5,data!$L$2:$L$191,B5,data!$AP$2:$AP$191,"Not Cost-Effective")</f>
        <v>17</v>
      </c>
      <c r="G5" s="81">
        <f t="shared" si="0"/>
        <v>0.7432432432432432</v>
      </c>
      <c r="H5" s="78">
        <f>COUNTIFS(data!$K$2:$K$191,A5,data!$L$2:$L$191,B5,data!$AQ$2:$AQ$191,"Cost-Effective")</f>
        <v>68</v>
      </c>
      <c r="I5" s="78">
        <f>COUNTIFS(data!$K$2:$K$191,A5,data!$L$2:$L$191,B5,data!$AQ$2:$AQ$191,"Not Cost-Effective")</f>
        <v>4</v>
      </c>
      <c r="J5" s="79">
        <f t="shared" si="1"/>
        <v>0.91891891891891897</v>
      </c>
      <c r="K5" s="86">
        <f>COUNTIFS(data!$K$2:$K$191,A5,data!$L$2:$L$191,B5,data!$BF$2:$BF$191,"Cost-Effective")+COUNTIFS(data!$K$2:$K$191,A5,data!$L$2:$L$191,B5,data!$BF$2:$BF$191,"Cost-Saving")</f>
        <v>66</v>
      </c>
      <c r="L5" s="86">
        <f>COUNTIFS(data!$K$2:$K$191,A5,data!$L$2:$L$191,B5,data!$BF$2:$BF$191,"Not Cost-Effective")</f>
        <v>8</v>
      </c>
      <c r="M5" s="86">
        <f>COUNTIFS(data!$K$2:$K$191,A5,data!$L$2:$L$191,B5,data!$BF$2:$BF$191,"No Threshold")</f>
        <v>0</v>
      </c>
      <c r="N5" s="87">
        <f t="shared" si="2"/>
        <v>0.89189189189189189</v>
      </c>
      <c r="O5" s="82">
        <f>COUNTIFS(data!$K$2:$K$191,A5,data!$L$2:$L$191,B5,data!$AT$2:$AT$191,"Cost-Effective")</f>
        <v>42</v>
      </c>
      <c r="P5" s="82">
        <f>COUNTIFS(data!$K$2:$K$191,A5,data!$L$2:$L$191,B5,data!$AT$2:$AT$191,"Not Cost-Effective")</f>
        <v>27</v>
      </c>
      <c r="Q5" s="82">
        <f>COUNTIFS(data!$K$2:$K$191,A5,data!$L$2:$L$191,B5,data!$AT$2:$AT$191,"No Threshold")</f>
        <v>0</v>
      </c>
      <c r="R5" s="83">
        <f t="shared" si="3"/>
        <v>0.56756756756756754</v>
      </c>
      <c r="S5" s="82">
        <f>COUNTIFS(data!$K$2:$K$191,A5,data!$L$2:$L$191,B5,data!$AV$2:$AV$191,"Cost-Effective")</f>
        <v>30</v>
      </c>
      <c r="T5" s="82">
        <f>COUNTIFS(data!$K$2:$K$191,A5,data!$L$2:$L$191,B5,data!$AV$2:$AV$191,"Not Cost-Effective")</f>
        <v>39</v>
      </c>
      <c r="U5" s="82">
        <f>COUNTIFS(data!$K$2:$K$191,A5,data!$L$2:$L$191,B5,data!$AV$2:$AV$191,"No Threshold")</f>
        <v>0</v>
      </c>
      <c r="V5" s="83">
        <f t="shared" si="4"/>
        <v>0.40540540540540543</v>
      </c>
      <c r="W5" s="84">
        <f>COUNTIFS(data!$K$2:$K$191,A5,data!$L$2:$L$191,B5,data!$AX$2:$AX$191,"Cost-Effective")</f>
        <v>33</v>
      </c>
      <c r="X5" s="84">
        <f>COUNTIFS(data!$K$2:$K$191,A5,data!$L$2:$L$191,B5,data!$AX$2:$AX$191,"Not Cost-Effective")</f>
        <v>31</v>
      </c>
      <c r="Y5" s="84">
        <f>COUNTIFS(data!$K$2:$K$191,A5,data!$L$2:$L$191,B5,data!$AX$2:$AX$191,"No Threshold")</f>
        <v>0</v>
      </c>
      <c r="Z5" s="85">
        <f t="shared" si="5"/>
        <v>0.44594594594594594</v>
      </c>
      <c r="AA5" s="84">
        <f>COUNTIFS(data!$K$2:$K$191,A5,data!$L$2:$L$191,B5,data!$AZ$2:$AZ$191,"Cost-Effective")</f>
        <v>6</v>
      </c>
      <c r="AB5" s="84">
        <f>COUNTIFS(data!$K$2:$K$191,A5,data!$L$2:$L$191,B5,data!$AZ$2:$AZ$191,"Not Cost-Effective")</f>
        <v>58</v>
      </c>
      <c r="AC5" s="84">
        <f>COUNTIFS(data!$K$2:$K$191,A5,data!$L$2:$L$191,B5,data!$AZ$2:$AZ$191,"No Threshold")</f>
        <v>0</v>
      </c>
      <c r="AD5" s="85">
        <f t="shared" si="6"/>
        <v>8.1081081081081086E-2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COUNTIFS(data!$K$2:$K$191,A6,data!$L$2:$L$191,B6)</f>
        <v>60</v>
      </c>
      <c r="E6" s="80">
        <f>COUNTIFS(data!$K$2:$K$191,A6,data!$L$2:$L$191,B6,data!$AP$2:$AP$191,"Cost-Effective")</f>
        <v>36</v>
      </c>
      <c r="F6" s="80">
        <f>COUNTIFS(data!$K$2:$K$191,A6,data!$L$2:$L$191,B6,data!$AP$2:$AP$191,"Not Cost-Effective")</f>
        <v>19</v>
      </c>
      <c r="G6" s="81">
        <f t="shared" si="0"/>
        <v>0.6</v>
      </c>
      <c r="H6" s="78">
        <f>COUNTIFS(data!$K$2:$K$191,A6,data!$L$2:$L$191,B6,data!$AQ$2:$AQ$191,"Cost-Effective")</f>
        <v>50</v>
      </c>
      <c r="I6" s="78">
        <f>COUNTIFS(data!$K$2:$K$191,A6,data!$L$2:$L$191,B6,data!$AQ$2:$AQ$191,"Not Cost-Effective")</f>
        <v>5</v>
      </c>
      <c r="J6" s="79">
        <f t="shared" si="1"/>
        <v>0.83333333333333337</v>
      </c>
      <c r="K6" s="86">
        <f>COUNTIFS(data!$K$2:$K$191,A6,data!$L$2:$L$191,B6,data!$BF$2:$BF$191,"Cost-Effective")+COUNTIFS(data!$K$2:$K$191,A6,data!$L$2:$L$191,B6,data!$BF$2:$BF$191,"Cost-Saving")</f>
        <v>53</v>
      </c>
      <c r="L6" s="86">
        <f>COUNTIFS(data!$K$2:$K$191,A6,data!$L$2:$L$191,B6,data!$BF$2:$BF$191,"Not Cost-Effective")</f>
        <v>7</v>
      </c>
      <c r="M6" s="86">
        <f>COUNTIFS(data!$K$2:$K$191,A6,data!$L$2:$L$191,B6,data!$BF$2:$BF$191,"No Threshold")</f>
        <v>0</v>
      </c>
      <c r="N6" s="87">
        <f t="shared" si="2"/>
        <v>0.8833333333333333</v>
      </c>
      <c r="O6" s="82">
        <f>COUNTIFS(data!$K$2:$K$191,A6,data!$L$2:$L$191,B6,data!$AT$2:$AT$191,"Cost-Effective")</f>
        <v>30</v>
      </c>
      <c r="P6" s="82">
        <f>COUNTIFS(data!$K$2:$K$191,A6,data!$L$2:$L$191,B6,data!$AT$2:$AT$191,"Not Cost-Effective")</f>
        <v>22</v>
      </c>
      <c r="Q6" s="82">
        <f>COUNTIFS(data!$K$2:$K$191,A6,data!$L$2:$L$191,B6,data!$AT$2:$AT$191,"No Threshold")</f>
        <v>0</v>
      </c>
      <c r="R6" s="83">
        <f t="shared" si="3"/>
        <v>0.5</v>
      </c>
      <c r="S6" s="82">
        <f>COUNTIFS(data!$K$2:$K$191,A6,data!$L$2:$L$191,B6,data!$AV$2:$AV$191,"Cost-Effective")</f>
        <v>27</v>
      </c>
      <c r="T6" s="82">
        <f>COUNTIFS(data!$K$2:$K$191,A6,data!$L$2:$L$191,B6,data!$AV$2:$AV$191,"Not Cost-Effective")</f>
        <v>25</v>
      </c>
      <c r="U6" s="82">
        <f>COUNTIFS(data!$K$2:$K$191,A6,data!$L$2:$L$191,B6,data!$AV$2:$AV$191,"No Threshold")</f>
        <v>0</v>
      </c>
      <c r="V6" s="83">
        <f t="shared" si="4"/>
        <v>0.45</v>
      </c>
      <c r="W6" s="84">
        <f>COUNTIFS(data!$K$2:$K$191,A6,data!$L$2:$L$191,B6,data!$AX$2:$AX$191,"Cost-Effective")</f>
        <v>31</v>
      </c>
      <c r="X6" s="84">
        <f>COUNTIFS(data!$K$2:$K$191,A6,data!$L$2:$L$191,B6,data!$AX$2:$AX$191,"Not Cost-Effective")</f>
        <v>22</v>
      </c>
      <c r="Y6" s="84">
        <f>COUNTIFS(data!$K$2:$K$191,A6,data!$L$2:$L$191,B6,data!$AX$2:$AX$191,"No Threshold")</f>
        <v>0</v>
      </c>
      <c r="Z6" s="85">
        <f t="shared" si="5"/>
        <v>0.51666666666666672</v>
      </c>
      <c r="AA6" s="84">
        <f>COUNTIFS(data!$K$2:$K$191,A6,data!$L$2:$L$191,B6,data!$AZ$2:$AZ$191,"Cost-Effective")</f>
        <v>13</v>
      </c>
      <c r="AB6" s="84">
        <f>COUNTIFS(data!$K$2:$K$191,A6,data!$L$2:$L$191,B6,data!$AZ$2:$AZ$191,"Not Cost-Effective")</f>
        <v>40</v>
      </c>
      <c r="AC6" s="84">
        <f>COUNTIFS(data!$K$2:$K$191,A6,data!$L$2:$L$191,B6,data!$AZ$2:$AZ$191,"No Threshold")</f>
        <v>0</v>
      </c>
      <c r="AD6" s="85">
        <f t="shared" si="6"/>
        <v>0.21666666666666667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COUNTIFS(data!$K$2:$K$191,A7,data!$L$2:$L$191,B7)</f>
        <v>22</v>
      </c>
      <c r="E7" s="80">
        <f>COUNTIFS(data!$K$2:$K$191,A7,data!$L$2:$L$191,B7,data!$AP$2:$AP$191,"Cost-Effective")</f>
        <v>5</v>
      </c>
      <c r="F7" s="80">
        <f>COUNTIFS(data!$K$2:$K$191,A7,data!$L$2:$L$191,B7,data!$AP$2:$AP$191,"Not Cost-Effective")</f>
        <v>10</v>
      </c>
      <c r="G7" s="81">
        <f t="shared" si="0"/>
        <v>0.22727272727272727</v>
      </c>
      <c r="H7" s="78">
        <f>COUNTIFS(data!$K$2:$K$191,A7,data!$L$2:$L$191,B7,data!$AQ$2:$AQ$191,"Cost-Effective")</f>
        <v>8</v>
      </c>
      <c r="I7" s="78">
        <f>COUNTIFS(data!$K$2:$K$191,A7,data!$L$2:$L$191,B7,data!$AQ$2:$AQ$191,"Not Cost-Effective")</f>
        <v>7</v>
      </c>
      <c r="J7" s="79">
        <f t="shared" si="1"/>
        <v>0.36363636363636365</v>
      </c>
      <c r="K7" s="86">
        <f>COUNTIFS(data!$K$2:$K$191,A7,data!$L$2:$L$191,B7,data!$BF$2:$BF$191,"Cost-Effective")+COUNTIFS(data!$K$2:$K$191,A7,data!$L$2:$L$191,B7,data!$BF$2:$BF$191,"Cost-Saving")</f>
        <v>16</v>
      </c>
      <c r="L7" s="86">
        <f>COUNTIFS(data!$K$2:$K$191,A7,data!$L$2:$L$191,B7,data!$BF$2:$BF$191,"Not Cost-Effective")</f>
        <v>6</v>
      </c>
      <c r="M7" s="86">
        <f>COUNTIFS(data!$K$2:$K$191,A7,data!$L$2:$L$191,B7,data!$BF$2:$BF$191,"No Threshold")</f>
        <v>0</v>
      </c>
      <c r="N7" s="87">
        <f t="shared" si="2"/>
        <v>0.72727272727272729</v>
      </c>
      <c r="O7" s="82">
        <f>COUNTIFS(data!$K$2:$K$191,A7,data!$L$2:$L$191,B7,data!$AT$2:$AT$191,"Cost-Effective")</f>
        <v>6</v>
      </c>
      <c r="P7" s="82">
        <f>COUNTIFS(data!$K$2:$K$191,A7,data!$L$2:$L$191,B7,data!$AT$2:$AT$191,"Not Cost-Effective")</f>
        <v>8</v>
      </c>
      <c r="Q7" s="82">
        <f>COUNTIFS(data!$K$2:$K$191,A7,data!$L$2:$L$191,B7,data!$AT$2:$AT$191,"No Threshold")</f>
        <v>0</v>
      </c>
      <c r="R7" s="83">
        <f t="shared" si="3"/>
        <v>0.27272727272727271</v>
      </c>
      <c r="S7" s="82">
        <f>COUNTIFS(data!$K$2:$K$191,A7,data!$L$2:$L$191,B7,data!$AV$2:$AV$191,"Cost-Effective")</f>
        <v>4</v>
      </c>
      <c r="T7" s="82">
        <f>COUNTIFS(data!$K$2:$K$191,A7,data!$L$2:$L$191,B7,data!$AV$2:$AV$191,"Not Cost-Effective")</f>
        <v>10</v>
      </c>
      <c r="U7" s="82">
        <f>COUNTIFS(data!$K$2:$K$191,A7,data!$L$2:$L$191,B7,data!$AV$2:$AV$191,"No Threshold")</f>
        <v>0</v>
      </c>
      <c r="V7" s="83">
        <f t="shared" si="4"/>
        <v>0.18181818181818182</v>
      </c>
      <c r="W7" s="84">
        <f>COUNTIFS(data!$K$2:$K$191,A7,data!$L$2:$L$191,B7,data!$AX$2:$AX$191,"Cost-Effective")</f>
        <v>5</v>
      </c>
      <c r="X7" s="84">
        <f>COUNTIFS(data!$K$2:$K$191,A7,data!$L$2:$L$191,B7,data!$AX$2:$AX$191,"Not Cost-Effective")</f>
        <v>8</v>
      </c>
      <c r="Y7" s="84">
        <f>COUNTIFS(data!$K$2:$K$191,A7,data!$L$2:$L$191,B7,data!$AX$2:$AX$191,"No Threshold")</f>
        <v>0</v>
      </c>
      <c r="Z7" s="85">
        <f t="shared" si="5"/>
        <v>0.22727272727272727</v>
      </c>
      <c r="AA7" s="84">
        <f>COUNTIFS(data!$K$2:$K$191,A7,data!$L$2:$L$191,B7,data!$AZ$2:$AZ$191,"Cost-Effective")</f>
        <v>2</v>
      </c>
      <c r="AB7" s="84">
        <f>COUNTIFS(data!$K$2:$K$191,A7,data!$L$2:$L$191,B7,data!$AZ$2:$AZ$191,"Not Cost-Effective")</f>
        <v>11</v>
      </c>
      <c r="AC7" s="84">
        <f>COUNTIFS(data!$K$2:$K$191,A7,data!$L$2:$L$191,B7,data!$AZ$2:$AZ$191,"No Threshold")</f>
        <v>0</v>
      </c>
      <c r="AD7" s="85">
        <f t="shared" si="6"/>
        <v>9.0909090909090912E-2</v>
      </c>
    </row>
    <row r="8" spans="1:34">
      <c r="A8" s="1" t="s">
        <v>186</v>
      </c>
      <c r="B8" s="1" t="s">
        <v>150</v>
      </c>
      <c r="C8" s="1" t="str">
        <f>_xlfn.CONCAT(A8, " vs ", B8)</f>
        <v>PCV13 vs PCV7</v>
      </c>
      <c r="D8" s="28">
        <f>COUNTIFS(data!$K$2:$K$191,A8,data!$L$2:$L$191,B8)</f>
        <v>2</v>
      </c>
      <c r="E8" s="80">
        <f>COUNTIFS(data!$K$2:$K$191,A8,data!$L$2:$L$191,B8,data!$AP$2:$AP$191,"Cost-Effective")</f>
        <v>0</v>
      </c>
      <c r="F8" s="80">
        <f>COUNTIFS(data!$K$2:$K$191,A8,data!$L$2:$L$191,B8,data!$AP$2:$AP$191,"Not Cost-Effective")</f>
        <v>1</v>
      </c>
      <c r="G8" s="81">
        <f t="shared" si="0"/>
        <v>0</v>
      </c>
      <c r="H8" s="78">
        <f>COUNTIFS(data!$K$2:$K$191,A8,data!$L$2:$L$191,B8,data!$AQ$2:$AQ$191,"Cost-Effective")</f>
        <v>0</v>
      </c>
      <c r="I8" s="78">
        <f>COUNTIFS(data!$K$2:$K$191,A8,data!$L$2:$L$191,B8,data!$AQ$2:$AQ$191,"Not Cost-Effective")</f>
        <v>1</v>
      </c>
      <c r="J8" s="79">
        <f t="shared" si="1"/>
        <v>0</v>
      </c>
      <c r="K8" s="86">
        <f>COUNTIFS(data!$K$2:$K$191,A8,data!$L$2:$L$191,B8,data!$BF$2:$BF$191,"Cost-Effective")+COUNTIFS(data!$K$2:$K$191,A8,data!$L$2:$L$191,B8,data!$BF$2:$BF$191,"Cost-Saving")</f>
        <v>1</v>
      </c>
      <c r="L8" s="86">
        <f>COUNTIFS(data!$K$2:$K$191,A8,data!$L$2:$L$191,B8,data!$BF$2:$BF$191,"Not Cost-Effective")</f>
        <v>1</v>
      </c>
      <c r="M8" s="86">
        <f>COUNTIFS(data!$K$2:$K$191,A8,data!$L$2:$L$191,B8,data!$BF$2:$BF$191,"No Threshold")</f>
        <v>0</v>
      </c>
      <c r="N8" s="87">
        <f t="shared" si="2"/>
        <v>0.5</v>
      </c>
      <c r="O8" s="82">
        <f>COUNTIFS(data!$K$2:$K$191,A8,data!$L$2:$L$191,B8,data!$AT$2:$AT$191,"Cost-Effective")</f>
        <v>0</v>
      </c>
      <c r="P8" s="82">
        <f>COUNTIFS(data!$K$2:$K$191,A8,data!$L$2:$L$191,B8,data!$AT$2:$AT$191,"Not Cost-Effective")</f>
        <v>1</v>
      </c>
      <c r="Q8" s="82">
        <f>COUNTIFS(data!$K$2:$K$191,A8,data!$L$2:$L$191,B8,data!$AT$2:$AT$191,"No Threshold")</f>
        <v>0</v>
      </c>
      <c r="R8" s="83">
        <f t="shared" si="3"/>
        <v>0</v>
      </c>
      <c r="S8" s="82">
        <f>COUNTIFS(data!$K$2:$K$191,A8,data!$L$2:$L$191,B8,data!$AV$2:$AV$191,"Cost-Effective")</f>
        <v>0</v>
      </c>
      <c r="T8" s="82">
        <f>COUNTIFS(data!$K$2:$K$191,A8,data!$L$2:$L$191,B8,data!$AV$2:$AV$191,"Not Cost-Effective")</f>
        <v>1</v>
      </c>
      <c r="U8" s="82">
        <f>COUNTIFS(data!$K$2:$K$191,A8,data!$L$2:$L$191,B8,data!$AV$2:$AV$191,"No Threshold")</f>
        <v>0</v>
      </c>
      <c r="V8" s="83">
        <f t="shared" si="4"/>
        <v>0</v>
      </c>
      <c r="W8" s="84">
        <f>COUNTIFS(data!$K$2:$K$191,A8,data!$L$2:$L$191,B8,data!$AX$2:$AX$191,"Cost-Effective")</f>
        <v>0</v>
      </c>
      <c r="X8" s="84">
        <f>COUNTIFS(data!$K$2:$K$191,A8,data!$L$2:$L$191,B8,data!$AX$2:$AX$191,"Not Cost-Effective")</f>
        <v>1</v>
      </c>
      <c r="Y8" s="84">
        <f>COUNTIFS(data!$K$2:$K$191,A8,data!$L$2:$L$191,B8,data!$AX$2:$AX$191,"No Threshold")</f>
        <v>0</v>
      </c>
      <c r="Z8" s="85">
        <f t="shared" si="5"/>
        <v>0</v>
      </c>
      <c r="AA8" s="84">
        <f>COUNTIFS(data!$K$2:$K$191,A8,data!$L$2:$L$191,B8,data!$AZ$2:$AZ$191,"Cost-Effective")</f>
        <v>0</v>
      </c>
      <c r="AB8" s="84">
        <f>COUNTIFS(data!$K$2:$K$191,A8,data!$L$2:$L$191,B8,data!$AZ$2:$AZ$191,"Not Cost-Effective")</f>
        <v>1</v>
      </c>
      <c r="AC8" s="84">
        <f>COUNTIFS(data!$K$2:$K$191,A8,data!$L$2:$L$191,B8,data!$AZ$2:$AZ$191,"No Threshold")</f>
        <v>0</v>
      </c>
      <c r="AD8" s="85">
        <f t="shared" si="6"/>
        <v>0</v>
      </c>
    </row>
    <row r="9" spans="1:34">
      <c r="A9" s="1" t="s">
        <v>183</v>
      </c>
      <c r="B9" s="1" t="s">
        <v>150</v>
      </c>
      <c r="C9" s="1" t="str">
        <f t="shared" ref="C9" si="7">_xlfn.CONCAT(A9, " vs ", B9)</f>
        <v>PCV10 vs PCV7</v>
      </c>
      <c r="D9" s="28">
        <f>COUNTIFS(data!$K$2:$K$191,A9,data!$L$2:$L$191,B9)</f>
        <v>4</v>
      </c>
      <c r="E9" s="80">
        <f>COUNTIFS(data!$K$2:$K$191,A9,data!$L$2:$L$191,B9,data!$AP$2:$AP$191,"Cost-Effective")</f>
        <v>0</v>
      </c>
      <c r="F9" s="80">
        <f>COUNTIFS(data!$K$2:$K$191,A9,data!$L$2:$L$191,B9,data!$AP$2:$AP$191,"Not Cost-Effective")</f>
        <v>0</v>
      </c>
      <c r="G9" s="81">
        <f t="shared" si="0"/>
        <v>0</v>
      </c>
      <c r="H9" s="78">
        <f>COUNTIFS(data!$K$2:$K$191,A9,data!$L$2:$L$191,B9,data!$AQ$2:$AQ$191,"Cost-Effective")</f>
        <v>0</v>
      </c>
      <c r="I9" s="78">
        <f>COUNTIFS(data!$K$2:$K$191,A9,data!$L$2:$L$191,B9,data!$AQ$2:$AQ$191,"Not Cost-Effective")</f>
        <v>0</v>
      </c>
      <c r="J9" s="79">
        <f t="shared" si="1"/>
        <v>0</v>
      </c>
      <c r="K9" s="86">
        <f>COUNTIFS(data!$K$2:$K$191,A9,data!$L$2:$L$191,B9,data!$BF$2:$BF$191,"Cost-Effective")+COUNTIFS(data!$K$2:$K$191,A9,data!$L$2:$L$191,B9,data!$BF$2:$BF$191,"Cost-Saving")</f>
        <v>4</v>
      </c>
      <c r="L9" s="86">
        <f>COUNTIFS(data!$K$2:$K$191,A9,data!$L$2:$L$191,B9,data!$BF$2:$BF$191,"Not Cost-Effective")</f>
        <v>0</v>
      </c>
      <c r="M9" s="86">
        <f>COUNTIFS(data!$K$2:$K$191,A9,data!$L$2:$L$191,B9,data!$BF$2:$BF$191,"No Threshold")</f>
        <v>0</v>
      </c>
      <c r="N9" s="87">
        <f t="shared" si="2"/>
        <v>1</v>
      </c>
      <c r="O9" s="82">
        <f>COUNTIFS(data!$K$2:$K$191,A9,data!$L$2:$L$191,B9,data!$AT$2:$AT$191,"Cost-Effective")</f>
        <v>0</v>
      </c>
      <c r="P9" s="82">
        <f>COUNTIFS(data!$K$2:$K$191,A9,data!$L$2:$L$191,B9,data!$AT$2:$AT$191,"Not Cost-Effective")</f>
        <v>0</v>
      </c>
      <c r="Q9" s="82">
        <f>COUNTIFS(data!$K$2:$K$191,A9,data!$L$2:$L$191,B9,data!$AT$2:$AT$191,"No Threshold")</f>
        <v>0</v>
      </c>
      <c r="R9" s="83">
        <f t="shared" si="3"/>
        <v>0</v>
      </c>
      <c r="S9" s="82">
        <f>COUNTIFS(data!$K$2:$K$191,A9,data!$L$2:$L$191,B9,data!$AV$2:$AV$191,"Cost-Effective")</f>
        <v>0</v>
      </c>
      <c r="T9" s="82">
        <f>COUNTIFS(data!$K$2:$K$191,A9,data!$L$2:$L$191,B9,data!$AV$2:$AV$191,"Not Cost-Effective")</f>
        <v>0</v>
      </c>
      <c r="U9" s="82">
        <f>COUNTIFS(data!$K$2:$K$191,A9,data!$L$2:$L$191,B9,data!$AV$2:$AV$191,"No Threshold")</f>
        <v>0</v>
      </c>
      <c r="V9" s="83">
        <f t="shared" si="4"/>
        <v>0</v>
      </c>
      <c r="W9" s="84">
        <f>COUNTIFS(data!$K$2:$K$191,A9,data!$L$2:$L$191,B9,data!$AX$2:$AX$191,"Cost-Effective")</f>
        <v>0</v>
      </c>
      <c r="X9" s="84">
        <f>COUNTIFS(data!$K$2:$K$191,A9,data!$L$2:$L$191,B9,data!$AX$2:$AX$191,"Not Cost-Effective")</f>
        <v>0</v>
      </c>
      <c r="Y9" s="84">
        <f>COUNTIFS(data!$K$2:$K$191,A9,data!$L$2:$L$191,B9,data!$AX$2:$AX$191,"No Threshold")</f>
        <v>0</v>
      </c>
      <c r="Z9" s="85">
        <f t="shared" si="5"/>
        <v>0</v>
      </c>
      <c r="AA9" s="84">
        <f>COUNTIFS(data!$K$2:$K$191,A9,data!$L$2:$L$191,B9,data!$AZ$2:$AZ$191,"Cost-Effective")</f>
        <v>0</v>
      </c>
      <c r="AB9" s="84">
        <f>COUNTIFS(data!$K$2:$K$191,A9,data!$L$2:$L$191,B9,data!$AZ$2:$AZ$191,"Not Cost-Effective")</f>
        <v>0</v>
      </c>
      <c r="AC9" s="84">
        <f>COUNTIFS(data!$K$2:$K$191,A9,data!$L$2:$L$191,B9,data!$AZ$2:$AZ$191,"No Threshold")</f>
        <v>0</v>
      </c>
      <c r="AD9" s="85">
        <f t="shared" si="6"/>
        <v>0</v>
      </c>
    </row>
    <row r="10" spans="1:34">
      <c r="A10" s="1" t="s">
        <v>348</v>
      </c>
      <c r="B10" s="1" t="s">
        <v>151</v>
      </c>
      <c r="C10" s="1" t="str">
        <f>_xlfn.CONCAT(A10, " vs ", B10)</f>
        <v>PCV9 vs NoVax</v>
      </c>
      <c r="D10" s="28">
        <f>COUNTIFS(data!$K$2:$K$191,A10,data!$L$2:$L$191,B10)</f>
        <v>4</v>
      </c>
      <c r="E10" s="80">
        <f>COUNTIFS(data!$K$2:$K$191,A10,data!$L$2:$L$191,B10,data!$AP$2:$AP$191,"Cost-Effective")</f>
        <v>3</v>
      </c>
      <c r="F10" s="80">
        <f>COUNTIFS(data!$K$2:$K$191,A10,data!$L$2:$L$191,B10,data!$AP$2:$AP$191,"Not Cost-Effective")</f>
        <v>1</v>
      </c>
      <c r="G10" s="81">
        <f t="shared" si="0"/>
        <v>0.75</v>
      </c>
      <c r="H10" s="78">
        <f>COUNTIFS(data!$K$2:$K$191,A10,data!$L$2:$L$191,B10,data!$AQ$2:$AQ$191,"Cost-Effective")</f>
        <v>4</v>
      </c>
      <c r="I10" s="78">
        <f>COUNTIFS(data!$K$2:$K$191,A10,data!$L$2:$L$191,B10,data!$AQ$2:$AQ$191,"Not Cost-Effective")</f>
        <v>0</v>
      </c>
      <c r="J10" s="79">
        <f t="shared" si="1"/>
        <v>1</v>
      </c>
      <c r="K10" s="86">
        <f>COUNTIFS(data!$K$2:$K$191,A10,data!$L$2:$L$191,B10,data!$BF$2:$BF$191,"Cost-Effective")+COUNTIFS(data!$K$2:$K$191,A10,data!$L$2:$L$191,B10,data!$BF$2:$BF$191,"Cost-Saving")</f>
        <v>4</v>
      </c>
      <c r="L10" s="86">
        <f>COUNTIFS(data!$K$2:$K$191,A10,data!$L$2:$L$191,B10,data!$BF$2:$BF$191,"Not Cost-Effective")</f>
        <v>0</v>
      </c>
      <c r="M10" s="86">
        <f>COUNTIFS(data!$K$2:$K$191,A10,data!$L$2:$L$191,B10,data!$BF$2:$BF$191,"No Threshold")</f>
        <v>0</v>
      </c>
      <c r="N10" s="87">
        <f t="shared" si="2"/>
        <v>1</v>
      </c>
      <c r="O10" s="82">
        <f>COUNTIFS(data!$K$2:$K$191,A10,data!$L$2:$L$191,B10,data!$AT$2:$AT$191,"Cost-Effective")</f>
        <v>1</v>
      </c>
      <c r="P10" s="82">
        <f>COUNTIFS(data!$K$2:$K$191,A10,data!$L$2:$L$191,B10,data!$AT$2:$AT$191,"Not Cost-Effective")</f>
        <v>1</v>
      </c>
      <c r="Q10" s="82">
        <f>COUNTIFS(data!$K$2:$K$191,A10,data!$L$2:$L$191,B10,data!$AT$2:$AT$191,"No Threshold")</f>
        <v>0</v>
      </c>
      <c r="R10" s="83">
        <f t="shared" si="3"/>
        <v>0.25</v>
      </c>
      <c r="S10" s="82">
        <f>COUNTIFS(data!$K$2:$K$191,A10,data!$L$2:$L$191,B10,data!$AV$2:$AV$191,"Cost-Effective")</f>
        <v>1</v>
      </c>
      <c r="T10" s="82">
        <f>COUNTIFS(data!$K$2:$K$191,A10,data!$L$2:$L$191,B10,data!$AV$2:$AV$191,"Not Cost-Effective")</f>
        <v>1</v>
      </c>
      <c r="U10" s="82">
        <f>COUNTIFS(data!$K$2:$K$191,A10,data!$L$2:$L$191,B10,data!$AV$2:$AV$191,"No Threshold")</f>
        <v>0</v>
      </c>
      <c r="V10" s="83">
        <f t="shared" si="4"/>
        <v>0.25</v>
      </c>
      <c r="W10" s="84">
        <f>COUNTIFS(data!$K$2:$K$191,A10,data!$L$2:$L$191,B10,data!$AX$2:$AX$191,"Cost-Effective")</f>
        <v>3</v>
      </c>
      <c r="X10" s="84">
        <f>COUNTIFS(data!$K$2:$K$191,A10,data!$L$2:$L$191,B10,data!$AX$2:$AX$191,"Not Cost-Effective")</f>
        <v>1</v>
      </c>
      <c r="Y10" s="84">
        <f>COUNTIFS(data!$K$2:$K$191,A10,data!$L$2:$L$191,B10,data!$AX$2:$AX$191,"No Threshold")</f>
        <v>0</v>
      </c>
      <c r="Z10" s="85">
        <f t="shared" si="5"/>
        <v>0.75</v>
      </c>
      <c r="AA10" s="84">
        <f>COUNTIFS(data!$K$2:$K$191,A10,data!$L$2:$L$191,B10,data!$AZ$2:$AZ$191,"Cost-Effective")</f>
        <v>0</v>
      </c>
      <c r="AB10" s="84">
        <f>COUNTIFS(data!$K$2:$K$191,A10,data!$L$2:$L$191,B10,data!$AZ$2:$AZ$191,"Not Cost-Effective")</f>
        <v>4</v>
      </c>
      <c r="AC10" s="84">
        <f>COUNTIFS(data!$K$2:$K$191,A10,data!$L$2:$L$191,B10,data!$AZ$2:$AZ$191,"No Threshold")</f>
        <v>0</v>
      </c>
      <c r="AD10" s="85">
        <f t="shared" si="6"/>
        <v>0</v>
      </c>
    </row>
    <row r="11" spans="1:34">
      <c r="C11" s="1" t="s">
        <v>652</v>
      </c>
      <c r="D11" s="27">
        <f>SUM(D4:D10)</f>
        <v>190</v>
      </c>
      <c r="E11" s="88">
        <f>SUM(E4:E10)</f>
        <v>114</v>
      </c>
      <c r="F11" s="88">
        <f>SUM(F4:F10)</f>
        <v>57</v>
      </c>
      <c r="G11" s="89">
        <f t="shared" si="0"/>
        <v>0.6</v>
      </c>
      <c r="H11" s="90">
        <f>SUM(H4:H10)</f>
        <v>150</v>
      </c>
      <c r="I11" s="90">
        <f>SUM(I4:I10)</f>
        <v>21</v>
      </c>
      <c r="J11" s="91">
        <f t="shared" si="1"/>
        <v>0.78947368421052633</v>
      </c>
      <c r="K11" s="96">
        <f>SUM(K4:K10)</f>
        <v>164</v>
      </c>
      <c r="L11" s="96">
        <f>SUM(L4:L10)</f>
        <v>26</v>
      </c>
      <c r="M11" s="96">
        <f>SUM(M4:M10)</f>
        <v>0</v>
      </c>
      <c r="N11" s="97">
        <f>K11/$D11</f>
        <v>0.86315789473684212</v>
      </c>
      <c r="O11" s="92">
        <f>SUM(O4:O10)</f>
        <v>90</v>
      </c>
      <c r="P11" s="92">
        <f>SUM(P4:P10)</f>
        <v>70</v>
      </c>
      <c r="Q11" s="92">
        <f>SUM(Q4:Q10)</f>
        <v>0</v>
      </c>
      <c r="R11" s="93">
        <f t="shared" si="3"/>
        <v>0.47368421052631576</v>
      </c>
      <c r="S11" s="92">
        <f>SUM(S4:S10)</f>
        <v>72</v>
      </c>
      <c r="T11" s="92">
        <f>SUM(T4:T10)</f>
        <v>88</v>
      </c>
      <c r="U11" s="92">
        <f>SUM(U4:U10)</f>
        <v>0</v>
      </c>
      <c r="V11" s="93">
        <f t="shared" si="4"/>
        <v>0.37894736842105264</v>
      </c>
      <c r="W11" s="94">
        <f>SUM(W4:W10)</f>
        <v>82</v>
      </c>
      <c r="X11" s="94">
        <f>SUM(X4:X10)</f>
        <v>73</v>
      </c>
      <c r="Y11" s="94">
        <f>SUM(Y4:Y10)</f>
        <v>0</v>
      </c>
      <c r="Z11" s="95">
        <f t="shared" si="5"/>
        <v>0.43157894736842106</v>
      </c>
      <c r="AA11" s="94">
        <f>SUM(AA4:AA10)</f>
        <v>24</v>
      </c>
      <c r="AB11" s="94">
        <f>SUM(AB4:AB10)</f>
        <v>131</v>
      </c>
      <c r="AC11" s="94">
        <f>SUM(AC4:AC10)</f>
        <v>0</v>
      </c>
      <c r="AD11" s="95">
        <f t="shared" si="6"/>
        <v>0.12631578947368421</v>
      </c>
    </row>
    <row r="12" spans="1:34">
      <c r="K12" s="28"/>
      <c r="L12" s="28"/>
      <c r="M12" s="28"/>
      <c r="R12" s="23"/>
      <c r="V12" s="23"/>
      <c r="Z12" s="23"/>
      <c r="AD12" s="23"/>
    </row>
    <row r="13" spans="1:34">
      <c r="K13" s="28"/>
      <c r="L13" s="28"/>
      <c r="M13" s="28"/>
      <c r="R13" s="23"/>
      <c r="V13" s="23"/>
      <c r="Z13" s="23"/>
      <c r="AD13" s="23"/>
    </row>
    <row r="14" spans="1:34">
      <c r="G14" s="208"/>
      <c r="H14" s="208"/>
      <c r="I14" s="58"/>
      <c r="J14" s="208"/>
      <c r="K14" s="208"/>
      <c r="L14" s="208"/>
      <c r="M14" s="208"/>
      <c r="N14" s="208"/>
      <c r="O14" s="208"/>
      <c r="P14" s="58"/>
      <c r="Q14" s="58"/>
      <c r="T14" s="58"/>
      <c r="U14" s="58"/>
      <c r="Z14" s="23"/>
      <c r="AD14" s="23"/>
    </row>
    <row r="15" spans="1:34">
      <c r="K15" s="28"/>
      <c r="L15" s="28"/>
      <c r="M15" s="28"/>
      <c r="Z15" s="23"/>
      <c r="AD15" s="23"/>
    </row>
    <row r="17" spans="3:19" ht="12.75" customHeight="1">
      <c r="C17" s="104"/>
      <c r="D17" s="204" t="s">
        <v>949</v>
      </c>
      <c r="E17" s="209"/>
      <c r="F17" s="205"/>
      <c r="H17" s="204" t="s">
        <v>950</v>
      </c>
      <c r="I17" s="209"/>
      <c r="J17" s="209"/>
      <c r="K17" s="209"/>
      <c r="L17" s="205"/>
      <c r="N17" s="204" t="s">
        <v>951</v>
      </c>
      <c r="O17" s="209"/>
      <c r="P17" s="209"/>
      <c r="Q17" s="209"/>
      <c r="R17" s="205"/>
    </row>
    <row r="18" spans="3:19">
      <c r="C18" s="104"/>
      <c r="D18" s="109"/>
      <c r="E18" s="105"/>
      <c r="F18" s="105"/>
      <c r="H18" s="206" t="s">
        <v>952</v>
      </c>
      <c r="I18" s="204" t="s">
        <v>953</v>
      </c>
      <c r="J18" s="205"/>
      <c r="K18" s="204" t="s">
        <v>954</v>
      </c>
      <c r="L18" s="205"/>
      <c r="N18" s="105"/>
      <c r="O18" s="204" t="s">
        <v>953</v>
      </c>
      <c r="P18" s="205"/>
      <c r="Q18" s="204" t="s">
        <v>954</v>
      </c>
      <c r="R18" s="205"/>
    </row>
    <row r="19" spans="3:19" ht="28">
      <c r="C19" s="106" t="s">
        <v>946</v>
      </c>
      <c r="D19" s="109" t="s">
        <v>952</v>
      </c>
      <c r="E19" s="107" t="s">
        <v>11</v>
      </c>
      <c r="F19" s="107" t="s">
        <v>947</v>
      </c>
      <c r="H19" s="207"/>
      <c r="I19" s="107" t="s">
        <v>11</v>
      </c>
      <c r="J19" s="107" t="s">
        <v>947</v>
      </c>
      <c r="K19" s="107" t="s">
        <v>11</v>
      </c>
      <c r="L19" s="107" t="s">
        <v>947</v>
      </c>
      <c r="N19" s="107" t="s">
        <v>952</v>
      </c>
      <c r="O19" s="107" t="s">
        <v>11</v>
      </c>
      <c r="P19" s="107" t="s">
        <v>947</v>
      </c>
      <c r="Q19" s="107" t="s">
        <v>11</v>
      </c>
      <c r="R19" s="107" t="s">
        <v>947</v>
      </c>
    </row>
    <row r="20" spans="3:19">
      <c r="C20" s="104" t="s">
        <v>149</v>
      </c>
      <c r="D20" s="104">
        <f>SUM(K4:L4)</f>
        <v>24</v>
      </c>
      <c r="E20" s="104">
        <f>K4</f>
        <v>20</v>
      </c>
      <c r="F20" s="108">
        <f t="shared" ref="F20:F24" si="8">E20/D20</f>
        <v>0.83333333333333337</v>
      </c>
      <c r="H20" s="104">
        <f>SUM(O4:P4)</f>
        <v>22</v>
      </c>
      <c r="I20" s="104">
        <f>O4</f>
        <v>11</v>
      </c>
      <c r="J20" s="108">
        <f t="shared" ref="J20:J25" si="9">I20/H20</f>
        <v>0.5</v>
      </c>
      <c r="K20" s="104">
        <f>S4</f>
        <v>10</v>
      </c>
      <c r="L20" s="108">
        <f t="shared" ref="L20:L25" si="10">K20/H20</f>
        <v>0.45454545454545453</v>
      </c>
      <c r="N20" s="104">
        <f>SUM(W4:X4)</f>
        <v>20</v>
      </c>
      <c r="O20" s="104">
        <f>W4</f>
        <v>10</v>
      </c>
      <c r="P20" s="108">
        <f t="shared" ref="P20:P25" si="11">O20/N20</f>
        <v>0.5</v>
      </c>
      <c r="Q20" s="104">
        <f>AA4</f>
        <v>3</v>
      </c>
      <c r="R20" s="108">
        <f t="shared" ref="R20:R25" si="12">Q20/N20</f>
        <v>0.15</v>
      </c>
    </row>
    <row r="21" spans="3:19">
      <c r="C21" s="104" t="s">
        <v>352</v>
      </c>
      <c r="D21" s="104">
        <f>SUM(K5:L5)</f>
        <v>74</v>
      </c>
      <c r="E21" s="104">
        <f>K5</f>
        <v>66</v>
      </c>
      <c r="F21" s="108">
        <f t="shared" si="8"/>
        <v>0.89189189189189189</v>
      </c>
      <c r="H21" s="104">
        <f>SUM(O5:P5)</f>
        <v>69</v>
      </c>
      <c r="I21" s="104">
        <f>O5</f>
        <v>42</v>
      </c>
      <c r="J21" s="108">
        <f t="shared" si="9"/>
        <v>0.60869565217391308</v>
      </c>
      <c r="K21" s="104">
        <f>S5</f>
        <v>30</v>
      </c>
      <c r="L21" s="108">
        <f t="shared" si="10"/>
        <v>0.43478260869565216</v>
      </c>
      <c r="N21" s="104">
        <f>SUM(W5:X5)</f>
        <v>64</v>
      </c>
      <c r="O21" s="104">
        <f>W5</f>
        <v>33</v>
      </c>
      <c r="P21" s="108">
        <f t="shared" si="11"/>
        <v>0.515625</v>
      </c>
      <c r="Q21" s="104">
        <f>AA5</f>
        <v>6</v>
      </c>
      <c r="R21" s="108">
        <f t="shared" si="12"/>
        <v>9.375E-2</v>
      </c>
    </row>
    <row r="22" spans="3:19">
      <c r="C22" s="104" t="s">
        <v>353</v>
      </c>
      <c r="D22" s="104">
        <f>SUM(K6:L6)</f>
        <v>60</v>
      </c>
      <c r="E22" s="104">
        <f>K6</f>
        <v>53</v>
      </c>
      <c r="F22" s="108">
        <f t="shared" si="8"/>
        <v>0.8833333333333333</v>
      </c>
      <c r="H22" s="104">
        <f>SUM(O6:P6)</f>
        <v>52</v>
      </c>
      <c r="I22" s="104">
        <f>O6</f>
        <v>30</v>
      </c>
      <c r="J22" s="108">
        <f t="shared" si="9"/>
        <v>0.57692307692307687</v>
      </c>
      <c r="K22" s="104">
        <f>S6</f>
        <v>27</v>
      </c>
      <c r="L22" s="108">
        <f t="shared" si="10"/>
        <v>0.51923076923076927</v>
      </c>
      <c r="N22" s="104">
        <f>SUM(W6:X6)</f>
        <v>53</v>
      </c>
      <c r="O22" s="104">
        <f>W6</f>
        <v>31</v>
      </c>
      <c r="P22" s="108">
        <f t="shared" si="11"/>
        <v>0.58490566037735847</v>
      </c>
      <c r="Q22" s="104">
        <f>AA6</f>
        <v>13</v>
      </c>
      <c r="R22" s="108">
        <f t="shared" si="12"/>
        <v>0.24528301886792453</v>
      </c>
    </row>
    <row r="23" spans="3:19">
      <c r="C23" s="104" t="s">
        <v>371</v>
      </c>
      <c r="D23" s="104">
        <f>SUM(K7:L7)</f>
        <v>22</v>
      </c>
      <c r="E23" s="104">
        <f>K7</f>
        <v>16</v>
      </c>
      <c r="F23" s="108">
        <f t="shared" si="8"/>
        <v>0.72727272727272729</v>
      </c>
      <c r="H23" s="104">
        <f>SUM(O7:P7)</f>
        <v>14</v>
      </c>
      <c r="I23" s="104">
        <f>O7</f>
        <v>6</v>
      </c>
      <c r="J23" s="108">
        <f t="shared" si="9"/>
        <v>0.42857142857142855</v>
      </c>
      <c r="K23" s="104">
        <f>S7</f>
        <v>4</v>
      </c>
      <c r="L23" s="108">
        <f t="shared" si="10"/>
        <v>0.2857142857142857</v>
      </c>
      <c r="N23" s="104">
        <f>SUM(W7:X7)</f>
        <v>13</v>
      </c>
      <c r="O23" s="104">
        <f>W7</f>
        <v>5</v>
      </c>
      <c r="P23" s="108">
        <f t="shared" si="11"/>
        <v>0.38461538461538464</v>
      </c>
      <c r="Q23" s="104">
        <f>AA7</f>
        <v>2</v>
      </c>
      <c r="R23" s="108">
        <f t="shared" si="12"/>
        <v>0.15384615384615385</v>
      </c>
    </row>
    <row r="24" spans="3:19">
      <c r="C24" s="104" t="s">
        <v>955</v>
      </c>
      <c r="D24" s="104">
        <f>SUM(K8:L10)</f>
        <v>10</v>
      </c>
      <c r="E24" s="104">
        <f>SUM(K8,K9,K10)</f>
        <v>9</v>
      </c>
      <c r="F24" s="108">
        <f t="shared" si="8"/>
        <v>0.9</v>
      </c>
      <c r="H24" s="104">
        <f>SUM(O8:P10)</f>
        <v>3</v>
      </c>
      <c r="I24" s="104">
        <f>SUM(O8:O10)</f>
        <v>1</v>
      </c>
      <c r="J24" s="108">
        <f t="shared" si="9"/>
        <v>0.33333333333333331</v>
      </c>
      <c r="K24" s="104">
        <f>SUM(S8:S10)</f>
        <v>1</v>
      </c>
      <c r="L24" s="108">
        <f t="shared" si="10"/>
        <v>0.33333333333333331</v>
      </c>
      <c r="N24" s="104">
        <f>SUM(W8:X10)</f>
        <v>5</v>
      </c>
      <c r="O24" s="104">
        <f>SUM(W8:W10)</f>
        <v>3</v>
      </c>
      <c r="P24" s="108">
        <f t="shared" si="11"/>
        <v>0.6</v>
      </c>
      <c r="Q24" s="104">
        <f>SUM(AA8:AA10)</f>
        <v>0</v>
      </c>
      <c r="R24" s="108">
        <f t="shared" si="12"/>
        <v>0</v>
      </c>
    </row>
    <row r="25" spans="3:19">
      <c r="C25" s="106" t="s">
        <v>652</v>
      </c>
      <c r="D25" s="104">
        <f>SUM(D20:D24)</f>
        <v>190</v>
      </c>
      <c r="E25" s="104">
        <f>SUM(E20:E24)</f>
        <v>164</v>
      </c>
      <c r="F25" s="133">
        <f>E25/D25</f>
        <v>0.86315789473684212</v>
      </c>
      <c r="H25" s="104">
        <f>SUM(H20:H24)</f>
        <v>160</v>
      </c>
      <c r="I25" s="104">
        <f>SUM(I20:I24)</f>
        <v>90</v>
      </c>
      <c r="J25" s="108">
        <f t="shared" si="9"/>
        <v>0.5625</v>
      </c>
      <c r="K25" s="104">
        <f>SUM(K20:K24)</f>
        <v>72</v>
      </c>
      <c r="L25" s="108">
        <f t="shared" si="10"/>
        <v>0.45</v>
      </c>
      <c r="N25" s="104">
        <f>SUM(N20:N24)</f>
        <v>155</v>
      </c>
      <c r="O25" s="104">
        <f>SUM(O20:O24)</f>
        <v>82</v>
      </c>
      <c r="P25" s="108">
        <f t="shared" si="11"/>
        <v>0.52903225806451615</v>
      </c>
      <c r="Q25" s="104">
        <f>SUM(Q20:Q24)</f>
        <v>24</v>
      </c>
      <c r="R25" s="108">
        <f t="shared" si="12"/>
        <v>0.15483870967741936</v>
      </c>
    </row>
    <row r="26" spans="3:19">
      <c r="E26" s="1">
        <f>D25-E25</f>
        <v>26</v>
      </c>
    </row>
    <row r="29" spans="3:19" ht="36" customHeight="1">
      <c r="C29" s="200" t="s">
        <v>956</v>
      </c>
      <c r="D29" s="200"/>
      <c r="E29" s="200"/>
      <c r="F29" s="200"/>
      <c r="G29" s="200"/>
      <c r="H29" s="200"/>
      <c r="I29" s="200"/>
      <c r="L29" s="1" t="s">
        <v>957</v>
      </c>
      <c r="O29" s="1" t="s">
        <v>958</v>
      </c>
      <c r="R29" s="1" t="s">
        <v>957</v>
      </c>
    </row>
    <row r="30" spans="3:19" ht="28.5" customHeight="1">
      <c r="C30" s="199" t="s">
        <v>946</v>
      </c>
      <c r="D30" s="203" t="s">
        <v>959</v>
      </c>
      <c r="E30" s="203" t="s">
        <v>960</v>
      </c>
      <c r="F30" s="203" t="s">
        <v>961</v>
      </c>
      <c r="G30" s="203"/>
      <c r="H30" s="203" t="s">
        <v>962</v>
      </c>
      <c r="I30" s="203"/>
      <c r="K30" s="1" t="s">
        <v>963</v>
      </c>
      <c r="O30" s="29" t="s">
        <v>964</v>
      </c>
    </row>
    <row r="31" spans="3:19" ht="26.25" customHeight="1">
      <c r="C31" s="199"/>
      <c r="D31" s="203"/>
      <c r="E31" s="203"/>
      <c r="F31" s="116" t="s">
        <v>965</v>
      </c>
      <c r="G31" s="116" t="s">
        <v>966</v>
      </c>
      <c r="H31" s="116" t="s">
        <v>965</v>
      </c>
      <c r="I31" s="116" t="s">
        <v>966</v>
      </c>
      <c r="K31" s="1" t="s">
        <v>174</v>
      </c>
      <c r="L31" s="1">
        <f>COUNTIF(data!$BF$2:$BF$191,K31)</f>
        <v>145</v>
      </c>
      <c r="M31" s="26">
        <f>L31/$L$35</f>
        <v>0.76315789473684215</v>
      </c>
      <c r="O31" s="1" t="s">
        <v>178</v>
      </c>
      <c r="P31" s="1">
        <f>COUNTIFS(data!$BE$2:$BE$191,O31,data!$B$2:$B$191,1)</f>
        <v>2</v>
      </c>
      <c r="R31" s="1" t="s">
        <v>178</v>
      </c>
      <c r="S31" s="1">
        <f>COUNTIFS(data!$BE$2:$BE$197,O31)</f>
        <v>6</v>
      </c>
    </row>
    <row r="32" spans="3:19" ht="15">
      <c r="C32" s="117" t="s">
        <v>967</v>
      </c>
      <c r="D32" s="110">
        <f>D4</f>
        <v>24</v>
      </c>
      <c r="E32" s="111">
        <f>F20</f>
        <v>0.83333333333333337</v>
      </c>
      <c r="F32" s="111">
        <f>J20</f>
        <v>0.5</v>
      </c>
      <c r="G32" s="112">
        <f>L20</f>
        <v>0.45454545454545453</v>
      </c>
      <c r="H32" s="111">
        <f>P20</f>
        <v>0.5</v>
      </c>
      <c r="I32" s="112">
        <f>R20</f>
        <v>0.15</v>
      </c>
      <c r="K32" s="1" t="s">
        <v>239</v>
      </c>
      <c r="L32" s="1">
        <f>COUNTIF(data!$BF$2:$BF$191,K32)</f>
        <v>19</v>
      </c>
      <c r="M32" s="26">
        <f t="shared" ref="M32:M34" si="13">L32/$L$35</f>
        <v>0.1</v>
      </c>
      <c r="O32" s="29" t="s">
        <v>210</v>
      </c>
      <c r="P32" s="1">
        <f>COUNTIFS(data!$BE$2:$BE$191,O32,data!$B$2:$B$191,1)</f>
        <v>21</v>
      </c>
      <c r="R32" s="29" t="s">
        <v>210</v>
      </c>
      <c r="S32" s="1">
        <f>COUNTIFS(data!$BE$2:$BE$197,O32)</f>
        <v>55</v>
      </c>
    </row>
    <row r="33" spans="3:20" ht="15">
      <c r="C33" s="117" t="s">
        <v>968</v>
      </c>
      <c r="D33" s="110">
        <f t="shared" ref="D33:D35" si="14">D5</f>
        <v>74</v>
      </c>
      <c r="E33" s="111">
        <f t="shared" ref="E33:E36" si="15">F21</f>
        <v>0.89189189189189189</v>
      </c>
      <c r="F33" s="111">
        <f t="shared" ref="F33:F36" si="16">J21</f>
        <v>0.60869565217391308</v>
      </c>
      <c r="G33" s="112">
        <f t="shared" ref="G33:G37" si="17">L21</f>
        <v>0.43478260869565216</v>
      </c>
      <c r="H33" s="111">
        <f t="shared" ref="H33:H37" si="18">P21</f>
        <v>0.515625</v>
      </c>
      <c r="I33" s="112">
        <f t="shared" ref="I33:I37" si="19">R21</f>
        <v>9.375E-2</v>
      </c>
      <c r="K33" s="1" t="s">
        <v>161</v>
      </c>
      <c r="L33" s="1">
        <f>COUNTIF(data!$BF$2:$BF$191,K33)</f>
        <v>26</v>
      </c>
      <c r="M33" s="26">
        <f t="shared" si="13"/>
        <v>0.1368421052631579</v>
      </c>
      <c r="O33" s="29" t="s">
        <v>202</v>
      </c>
      <c r="P33" s="1">
        <f>COUNTIFS(data!$BE$2:$BE$191,O33,data!$B$2:$B$191,1)</f>
        <v>1</v>
      </c>
      <c r="R33" s="29" t="s">
        <v>202</v>
      </c>
      <c r="S33" s="1">
        <f>COUNTIFS(data!$BE$2:$BE$197,O33)</f>
        <v>3</v>
      </c>
    </row>
    <row r="34" spans="3:20" ht="15">
      <c r="C34" s="117" t="s">
        <v>969</v>
      </c>
      <c r="D34" s="110">
        <f t="shared" si="14"/>
        <v>60</v>
      </c>
      <c r="E34" s="111">
        <f>F22</f>
        <v>0.8833333333333333</v>
      </c>
      <c r="F34" s="111">
        <f t="shared" si="16"/>
        <v>0.57692307692307687</v>
      </c>
      <c r="G34" s="112">
        <f t="shared" si="17"/>
        <v>0.51923076923076927</v>
      </c>
      <c r="H34" s="111">
        <f t="shared" si="18"/>
        <v>0.58490566037735847</v>
      </c>
      <c r="I34" s="112">
        <f t="shared" si="19"/>
        <v>0.24528301886792453</v>
      </c>
      <c r="K34" s="1" t="s">
        <v>822</v>
      </c>
      <c r="L34" s="1">
        <f>COUNTIF(data!$BF$2:$BF$191,K34)</f>
        <v>0</v>
      </c>
      <c r="M34" s="26">
        <f t="shared" si="13"/>
        <v>0</v>
      </c>
      <c r="O34" s="29" t="s">
        <v>173</v>
      </c>
      <c r="P34" s="1">
        <f>COUNTIFS(data!$BE$2:$BE$191,O34,data!$B$2:$B$191,1)</f>
        <v>17</v>
      </c>
      <c r="R34" s="29" t="s">
        <v>173</v>
      </c>
      <c r="S34" s="1">
        <f>COUNTIFS(data!$BE$2:$BE$197,O34)</f>
        <v>73</v>
      </c>
    </row>
    <row r="35" spans="3:20" ht="15">
      <c r="C35" s="117" t="s">
        <v>371</v>
      </c>
      <c r="D35" s="110">
        <f t="shared" si="14"/>
        <v>22</v>
      </c>
      <c r="E35" s="111">
        <f t="shared" si="15"/>
        <v>0.72727272727272729</v>
      </c>
      <c r="F35" s="111">
        <f t="shared" si="16"/>
        <v>0.42857142857142855</v>
      </c>
      <c r="G35" s="112">
        <f t="shared" si="17"/>
        <v>0.2857142857142857</v>
      </c>
      <c r="H35" s="111">
        <f t="shared" si="18"/>
        <v>0.38461538461538464</v>
      </c>
      <c r="I35" s="112">
        <f t="shared" si="19"/>
        <v>0.15384615384615385</v>
      </c>
      <c r="L35" s="1">
        <f>SUM(L31:L34)</f>
        <v>190</v>
      </c>
      <c r="O35" s="29" t="s">
        <v>160</v>
      </c>
      <c r="P35" s="1">
        <f>COUNTIFS(data!$BE$2:$BE$191,O35,data!$B$2:$B$191,1)</f>
        <v>10</v>
      </c>
      <c r="R35" s="29" t="s">
        <v>160</v>
      </c>
      <c r="S35" s="1">
        <f>COUNTIFS(data!$BE$2:$BE$197,O35)</f>
        <v>35</v>
      </c>
    </row>
    <row r="36" spans="3:20" ht="15">
      <c r="C36" s="117" t="s">
        <v>955</v>
      </c>
      <c r="D36" s="110">
        <f>SUM(D8:D10)</f>
        <v>10</v>
      </c>
      <c r="E36" s="111">
        <f t="shared" si="15"/>
        <v>0.9</v>
      </c>
      <c r="F36" s="111">
        <f t="shared" si="16"/>
        <v>0.33333333333333331</v>
      </c>
      <c r="G36" s="112">
        <f t="shared" si="17"/>
        <v>0.33333333333333331</v>
      </c>
      <c r="H36" s="111">
        <f t="shared" si="18"/>
        <v>0.6</v>
      </c>
      <c r="I36" s="112">
        <f t="shared" si="19"/>
        <v>0</v>
      </c>
      <c r="M36" s="29"/>
      <c r="O36" s="29" t="s">
        <v>970</v>
      </c>
      <c r="P36" s="4">
        <f>MAX(data!A:A)-SUM(P31:P34)</f>
        <v>16</v>
      </c>
      <c r="R36" s="29" t="s">
        <v>970</v>
      </c>
      <c r="S36" s="1">
        <f>198-SUM(S31:S35)</f>
        <v>26</v>
      </c>
    </row>
    <row r="37" spans="3:20" ht="15">
      <c r="C37" s="118" t="s">
        <v>652</v>
      </c>
      <c r="D37" s="113">
        <f>SUM(D32:D36)</f>
        <v>190</v>
      </c>
      <c r="E37" s="114">
        <f>F25</f>
        <v>0.86315789473684212</v>
      </c>
      <c r="F37" s="114">
        <f>J25</f>
        <v>0.5625</v>
      </c>
      <c r="G37" s="115">
        <f t="shared" si="17"/>
        <v>0.45</v>
      </c>
      <c r="H37" s="114">
        <f t="shared" si="18"/>
        <v>0.52903225806451615</v>
      </c>
      <c r="I37" s="115">
        <f t="shared" si="19"/>
        <v>0.15483870967741936</v>
      </c>
      <c r="M37" s="29"/>
      <c r="P37" s="1">
        <f>SUM(P31:P36)</f>
        <v>67</v>
      </c>
      <c r="S37" s="1">
        <v>198</v>
      </c>
      <c r="T37" s="7">
        <f>SUM(S32:S34)/SUM(S31:S36)</f>
        <v>0.66161616161616166</v>
      </c>
    </row>
    <row r="38" spans="3:20" ht="78" customHeight="1">
      <c r="C38" s="201" t="s">
        <v>971</v>
      </c>
      <c r="D38" s="202"/>
      <c r="E38" s="202"/>
      <c r="F38" s="202"/>
      <c r="G38" s="202"/>
      <c r="H38" s="202"/>
      <c r="I38" s="202"/>
    </row>
  </sheetData>
  <mergeCells count="24">
    <mergeCell ref="AA2:AD2"/>
    <mergeCell ref="W2:Z2"/>
    <mergeCell ref="K2:N2"/>
    <mergeCell ref="S2:V2"/>
    <mergeCell ref="J14:O14"/>
    <mergeCell ref="G14:H14"/>
    <mergeCell ref="H17:L17"/>
    <mergeCell ref="E2:G2"/>
    <mergeCell ref="H2:J2"/>
    <mergeCell ref="O2:R2"/>
    <mergeCell ref="N17:R17"/>
    <mergeCell ref="D17:F17"/>
    <mergeCell ref="I18:J18"/>
    <mergeCell ref="K18:L18"/>
    <mergeCell ref="O18:P18"/>
    <mergeCell ref="Q18:R18"/>
    <mergeCell ref="H18:H19"/>
    <mergeCell ref="C30:C31"/>
    <mergeCell ref="C29:I29"/>
    <mergeCell ref="C38:I38"/>
    <mergeCell ref="F30:G30"/>
    <mergeCell ref="H30:I30"/>
    <mergeCell ref="D30:D31"/>
    <mergeCell ref="E30:E31"/>
  </mergeCells>
  <phoneticPr fontId="5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0A3C-0B6B-CD47-8518-7FDEB2420704}">
  <sheetPr codeName="Sheet8"/>
  <dimension ref="A1:AK100"/>
  <sheetViews>
    <sheetView zoomScale="110" zoomScaleNormal="110" workbookViewId="0">
      <pane ySplit="1" topLeftCell="A2" activePane="bottomLeft" state="frozen"/>
      <selection activeCell="I1" sqref="I1"/>
      <selection pane="bottomLeft" activeCell="AF81" sqref="AF81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2.83203125" style="30" customWidth="1"/>
    <col min="37" max="37" width="11.33203125" style="30" bestFit="1" customWidth="1"/>
    <col min="38" max="16384" width="9.1640625" style="30"/>
  </cols>
  <sheetData>
    <row r="1" spans="1:36" s="37" customFormat="1" ht="12.75" customHeight="1">
      <c r="A1" s="36" t="s">
        <v>653</v>
      </c>
      <c r="B1" s="36" t="s">
        <v>668</v>
      </c>
      <c r="C1" s="36" t="s">
        <v>669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670</v>
      </c>
      <c r="I1" s="36" t="s">
        <v>671</v>
      </c>
      <c r="J1" s="36" t="s">
        <v>672</v>
      </c>
      <c r="K1" s="52" t="s">
        <v>673</v>
      </c>
      <c r="L1" s="36" t="s">
        <v>674</v>
      </c>
      <c r="M1" s="36" t="s">
        <v>675</v>
      </c>
      <c r="N1" s="37" t="s">
        <v>676</v>
      </c>
      <c r="O1" s="37" t="s">
        <v>677</v>
      </c>
      <c r="P1" s="36" t="s">
        <v>678</v>
      </c>
      <c r="Q1" s="37" t="s">
        <v>679</v>
      </c>
      <c r="R1" s="37" t="s">
        <v>680</v>
      </c>
      <c r="S1" s="37" t="s">
        <v>681</v>
      </c>
      <c r="T1" s="38" t="s">
        <v>682</v>
      </c>
      <c r="U1" s="37" t="s">
        <v>683</v>
      </c>
      <c r="V1" s="37" t="s">
        <v>684</v>
      </c>
      <c r="W1" s="37" t="s">
        <v>685</v>
      </c>
      <c r="X1" s="54" t="s">
        <v>686</v>
      </c>
      <c r="Y1" s="37" t="s">
        <v>687</v>
      </c>
      <c r="Z1" s="54" t="s">
        <v>688</v>
      </c>
      <c r="AA1" s="37" t="s">
        <v>689</v>
      </c>
      <c r="AB1" s="54" t="s">
        <v>690</v>
      </c>
      <c r="AC1" s="37" t="s">
        <v>691</v>
      </c>
      <c r="AD1" s="54" t="s">
        <v>692</v>
      </c>
      <c r="AE1" s="37" t="s">
        <v>693</v>
      </c>
      <c r="AF1" s="37" t="s">
        <v>694</v>
      </c>
      <c r="AG1" s="37" t="s">
        <v>695</v>
      </c>
      <c r="AH1" s="37" t="s">
        <v>696</v>
      </c>
      <c r="AI1" s="37" t="s">
        <v>697</v>
      </c>
      <c r="AJ1" s="37" t="s">
        <v>972</v>
      </c>
    </row>
    <row r="2" spans="1:36" ht="12.75" customHeight="1">
      <c r="A2" s="40">
        <v>1</v>
      </c>
      <c r="B2" s="40">
        <v>1</v>
      </c>
      <c r="C2" s="51" t="str">
        <f t="shared" ref="C2:C33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698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699</v>
      </c>
      <c r="P2" s="33">
        <v>2011</v>
      </c>
      <c r="Q2" s="30" t="s">
        <v>700</v>
      </c>
      <c r="R2" s="35">
        <v>530354</v>
      </c>
      <c r="S2" s="32">
        <v>530354</v>
      </c>
      <c r="T2" s="32">
        <f t="shared" ref="T2:T33" si="1">VLOOKUP(G2,gdppc,P2-1958,FALSE)</f>
        <v>5614.3521350000001</v>
      </c>
      <c r="U2" s="30" t="str">
        <f t="shared" ref="U2:U33" si="2">IF(S2&lt;T2,"Cost-Effective","Not Cost-Effective")</f>
        <v>Not Cost-Effective</v>
      </c>
      <c r="V2" s="30" t="str">
        <f t="shared" ref="V2:V33" si="3">IF(S2&lt;T2*3,"Cost-Effective","Not Cost-Effective")</f>
        <v>Not Cost-Effective</v>
      </c>
      <c r="W2" s="41">
        <f t="shared" ref="W2:W33" si="4">S2/T2</f>
        <v>94.463971487246226</v>
      </c>
      <c r="X2" s="55">
        <f t="shared" ref="X2:X33" si="5">IFERROR(VLOOKUP(G2,ochalek,11,FALSE),0)</f>
        <v>0.71</v>
      </c>
      <c r="Y2" s="30" t="str">
        <f t="shared" ref="Y2:Y33" si="6">IF( W2&lt;X2, "Cost-Effective", IF( W2-X2=W2, "No Threshold", "Not Cost-Effective"))</f>
        <v>Not Cost-Effective</v>
      </c>
      <c r="Z2" s="55">
        <f t="shared" ref="Z2:Z33" si="7">IFERROR(VLOOKUP(G2,ochalek,10,FALSE),0)</f>
        <v>0.45</v>
      </c>
      <c r="AA2" s="30" t="str">
        <f t="shared" ref="AA2:AA33" si="8">IF( W2&lt;Z2, "Cost-Effective", IF( W2-Z2=W2, "No Threshold", "Not Cost-Effective"))</f>
        <v>Not Cost-Effective</v>
      </c>
      <c r="AB2" s="55">
        <f t="shared" ref="AB2:AB33" si="9">IFERROR(VLOOKUP(G2,woods,6,FALSE),0)</f>
        <v>0.6481168977852142</v>
      </c>
      <c r="AC2" s="30" t="str">
        <f t="shared" ref="AC2:AC33" si="10">IF( W2&lt;AB2, "Cost-Effective", IF( W2-AB2=W2, "No Threshold", "Not Cost-Effective"))</f>
        <v>Not Cost-Effective</v>
      </c>
      <c r="AD2" s="55">
        <f t="shared" ref="AD2:AD33" si="11">IFERROR(VLOOKUP(G2,woods,5,FALSE),0)</f>
        <v>0.16395220864852342</v>
      </c>
      <c r="AE2" s="30" t="str">
        <f t="shared" ref="AE2:AE33" si="12"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701</v>
      </c>
      <c r="AJ2" s="30" t="s">
        <v>148</v>
      </c>
    </row>
    <row r="3" spans="1:36" ht="12.75" customHeight="1">
      <c r="A3" s="40">
        <f t="shared" ref="A3:A34" si="13">IF(F3=F2,A2,A2+1)</f>
        <v>1</v>
      </c>
      <c r="B3" s="40">
        <f t="shared" ref="B3:B34" si="14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698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699</v>
      </c>
      <c r="P3" s="33">
        <v>2011</v>
      </c>
      <c r="Q3" s="30" t="s">
        <v>702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si="8"/>
        <v>Not Cost-Effective</v>
      </c>
      <c r="AB3" s="55">
        <f t="shared" si="9"/>
        <v>0.6481168977852142</v>
      </c>
      <c r="AC3" s="30" t="str">
        <f t="shared" si="10"/>
        <v>Not Cost-Effective</v>
      </c>
      <c r="AD3" s="55">
        <f t="shared" si="11"/>
        <v>0.16395220864852342</v>
      </c>
      <c r="AE3" s="30" t="str">
        <f t="shared" si="12"/>
        <v>Not Cost-Effective</v>
      </c>
      <c r="AF3" s="30" t="s">
        <v>173</v>
      </c>
      <c r="AG3" s="30" t="s">
        <v>161</v>
      </c>
      <c r="AJ3" s="30" t="s">
        <v>148</v>
      </c>
    </row>
    <row r="4" spans="1:36" ht="12.75" customHeight="1">
      <c r="A4" s="40">
        <f t="shared" si="13"/>
        <v>2</v>
      </c>
      <c r="B4" s="40">
        <f t="shared" si="14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698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699</v>
      </c>
      <c r="P4" s="33">
        <v>2011</v>
      </c>
      <c r="Q4" s="30" t="s">
        <v>703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8"/>
        <v>Cost-Effective</v>
      </c>
      <c r="AB4" s="55">
        <f t="shared" si="9"/>
        <v>0.6481168977852142</v>
      </c>
      <c r="AC4" s="30" t="str">
        <f t="shared" si="10"/>
        <v>Cost-Effective</v>
      </c>
      <c r="AD4" s="55">
        <f t="shared" si="11"/>
        <v>0.16395220864852342</v>
      </c>
      <c r="AE4" s="30" t="str">
        <f t="shared" si="12"/>
        <v>Not Cost-Effective</v>
      </c>
      <c r="AF4" s="30" t="s">
        <v>173</v>
      </c>
      <c r="AG4" s="30" t="s">
        <v>174</v>
      </c>
      <c r="AJ4" s="30" t="s">
        <v>148</v>
      </c>
    </row>
    <row r="5" spans="1:36" ht="12.75" customHeight="1">
      <c r="A5" s="40">
        <f t="shared" si="13"/>
        <v>3</v>
      </c>
      <c r="B5" s="40">
        <f t="shared" si="14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698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699</v>
      </c>
      <c r="P5" s="33">
        <v>2014</v>
      </c>
      <c r="Q5" s="30" t="s">
        <v>704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8"/>
        <v>Not Cost-Effective</v>
      </c>
      <c r="AB5" s="55">
        <f t="shared" si="9"/>
        <v>0.6481168977852142</v>
      </c>
      <c r="AC5" s="30" t="str">
        <f t="shared" si="10"/>
        <v>Not Cost-Effective</v>
      </c>
      <c r="AD5" s="55">
        <f t="shared" si="11"/>
        <v>0.16395220864852342</v>
      </c>
      <c r="AE5" s="30" t="str">
        <f t="shared" si="12"/>
        <v>Not Cost-Effective</v>
      </c>
      <c r="AF5" s="30" t="s">
        <v>173</v>
      </c>
      <c r="AG5" s="30" t="s">
        <v>174</v>
      </c>
      <c r="AJ5" s="30" t="s">
        <v>148</v>
      </c>
    </row>
    <row r="6" spans="1:36" ht="12.75" customHeight="1">
      <c r="A6" s="40">
        <f t="shared" si="13"/>
        <v>3</v>
      </c>
      <c r="B6" s="40">
        <f t="shared" si="14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705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699</v>
      </c>
      <c r="P6" s="33">
        <v>2014</v>
      </c>
      <c r="Q6" s="30" t="s">
        <v>706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8"/>
        <v>Not Cost-Effective</v>
      </c>
      <c r="AB6" s="55">
        <f t="shared" si="9"/>
        <v>0.6481168977852142</v>
      </c>
      <c r="AC6" s="30" t="str">
        <f t="shared" si="10"/>
        <v>Not Cost-Effective</v>
      </c>
      <c r="AD6" s="55">
        <f t="shared" si="11"/>
        <v>0.16395220864852342</v>
      </c>
      <c r="AE6" s="30" t="str">
        <f t="shared" si="12"/>
        <v>Not Cost-Effective</v>
      </c>
      <c r="AF6" s="30" t="s">
        <v>173</v>
      </c>
      <c r="AG6" s="30" t="s">
        <v>174</v>
      </c>
      <c r="AJ6" s="30" t="s">
        <v>148</v>
      </c>
    </row>
    <row r="7" spans="1:36" ht="12.75" customHeight="1">
      <c r="A7" s="40">
        <f t="shared" si="13"/>
        <v>3</v>
      </c>
      <c r="B7" s="40">
        <f t="shared" si="14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707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699</v>
      </c>
      <c r="P7" s="33">
        <v>2014</v>
      </c>
      <c r="Q7" s="30" t="s">
        <v>708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8"/>
        <v>Not Cost-Effective</v>
      </c>
      <c r="AB7" s="55">
        <f t="shared" si="9"/>
        <v>0.6481168977852142</v>
      </c>
      <c r="AC7" s="30" t="str">
        <f t="shared" si="10"/>
        <v>Not Cost-Effective</v>
      </c>
      <c r="AD7" s="55">
        <f t="shared" si="11"/>
        <v>0.16395220864852342</v>
      </c>
      <c r="AE7" s="30" t="str">
        <f t="shared" si="12"/>
        <v>Not Cost-Effective</v>
      </c>
      <c r="AF7" s="30" t="s">
        <v>173</v>
      </c>
      <c r="AG7" s="30" t="s">
        <v>174</v>
      </c>
      <c r="AJ7" s="30" t="s">
        <v>148</v>
      </c>
    </row>
    <row r="8" spans="1:36" ht="12.75" customHeight="1">
      <c r="A8" s="40">
        <f t="shared" si="13"/>
        <v>4</v>
      </c>
      <c r="B8" s="40">
        <f t="shared" si="14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698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699</v>
      </c>
      <c r="P8" s="33">
        <v>2015</v>
      </c>
      <c r="Q8" s="30" t="s">
        <v>709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8"/>
        <v>Not Cost-Effective</v>
      </c>
      <c r="AB8" s="55">
        <f t="shared" si="9"/>
        <v>0.6481168977852142</v>
      </c>
      <c r="AC8" s="30" t="str">
        <f t="shared" si="10"/>
        <v>Not Cost-Effective</v>
      </c>
      <c r="AD8" s="55">
        <f t="shared" si="11"/>
        <v>0.16395220864852342</v>
      </c>
      <c r="AE8" s="30" t="str">
        <f t="shared" si="12"/>
        <v>Not Cost-Effective</v>
      </c>
      <c r="AF8" s="30" t="s">
        <v>173</v>
      </c>
      <c r="AG8" s="30" t="s">
        <v>161</v>
      </c>
      <c r="AJ8" s="30" t="s">
        <v>148</v>
      </c>
    </row>
    <row r="9" spans="1:36" ht="12.75" customHeight="1">
      <c r="A9" s="40">
        <f t="shared" si="13"/>
        <v>4</v>
      </c>
      <c r="B9" s="40">
        <f t="shared" si="14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707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699</v>
      </c>
      <c r="P9" s="33">
        <v>2015</v>
      </c>
      <c r="Q9" s="30" t="s">
        <v>710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8"/>
        <v>Not Cost-Effective</v>
      </c>
      <c r="AB9" s="55">
        <f t="shared" si="9"/>
        <v>0.6481168977852142</v>
      </c>
      <c r="AC9" s="30" t="str">
        <f t="shared" si="10"/>
        <v>Not Cost-Effective</v>
      </c>
      <c r="AD9" s="55">
        <f t="shared" si="11"/>
        <v>0.16395220864852342</v>
      </c>
      <c r="AE9" s="30" t="str">
        <f t="shared" si="12"/>
        <v>Not Cost-Effective</v>
      </c>
      <c r="AF9" s="30" t="s">
        <v>173</v>
      </c>
      <c r="AG9" s="30" t="s">
        <v>161</v>
      </c>
      <c r="AJ9" s="30" t="s">
        <v>148</v>
      </c>
    </row>
    <row r="10" spans="1:36" ht="12.75" customHeight="1">
      <c r="A10" s="40">
        <f t="shared" si="13"/>
        <v>5</v>
      </c>
      <c r="B10" s="40">
        <f t="shared" si="14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707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711</v>
      </c>
      <c r="P10" s="33">
        <v>2015</v>
      </c>
      <c r="Q10" s="30" t="s">
        <v>712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8"/>
        <v>Not Cost-Effective</v>
      </c>
      <c r="AB10" s="55">
        <f t="shared" si="9"/>
        <v>0.6481168977852142</v>
      </c>
      <c r="AC10" s="30" t="str">
        <f t="shared" si="10"/>
        <v>Not Cost-Effective</v>
      </c>
      <c r="AD10" s="55">
        <f t="shared" si="11"/>
        <v>0.16395220864852342</v>
      </c>
      <c r="AE10" s="30" t="str">
        <f t="shared" si="12"/>
        <v>Not Cost-Effective</v>
      </c>
      <c r="AF10" s="30" t="s">
        <v>202</v>
      </c>
      <c r="AG10" s="30" t="s">
        <v>174</v>
      </c>
      <c r="AJ10" s="30" t="s">
        <v>148</v>
      </c>
    </row>
    <row r="11" spans="1:36" ht="12.75" customHeight="1">
      <c r="A11" s="40">
        <f t="shared" si="13"/>
        <v>5</v>
      </c>
      <c r="B11" s="40">
        <f t="shared" si="14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707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711</v>
      </c>
      <c r="P11" s="33">
        <v>2015</v>
      </c>
      <c r="Q11" s="30" t="s">
        <v>713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8"/>
        <v>Not Cost-Effective</v>
      </c>
      <c r="AB11" s="55">
        <f t="shared" si="9"/>
        <v>0.6481168977852142</v>
      </c>
      <c r="AC11" s="30" t="str">
        <f t="shared" si="10"/>
        <v>Not Cost-Effective</v>
      </c>
      <c r="AD11" s="55">
        <f t="shared" si="11"/>
        <v>0.16395220864852342</v>
      </c>
      <c r="AE11" s="30" t="str">
        <f t="shared" si="12"/>
        <v>Not Cost-Effective</v>
      </c>
      <c r="AF11" s="30" t="s">
        <v>202</v>
      </c>
      <c r="AG11" s="30" t="s">
        <v>174</v>
      </c>
      <c r="AJ11" s="30" t="s">
        <v>148</v>
      </c>
    </row>
    <row r="12" spans="1:36" ht="12.75" customHeight="1">
      <c r="A12" s="40">
        <f t="shared" si="13"/>
        <v>5</v>
      </c>
      <c r="B12" s="40">
        <f t="shared" si="14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707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711</v>
      </c>
      <c r="P12" s="33">
        <v>2015</v>
      </c>
      <c r="Q12" s="30" t="s">
        <v>714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8"/>
        <v>Cost-Effective</v>
      </c>
      <c r="AB12" s="55">
        <f t="shared" si="9"/>
        <v>0.6481168977852142</v>
      </c>
      <c r="AC12" s="30" t="str">
        <f t="shared" si="10"/>
        <v>Cost-Effective</v>
      </c>
      <c r="AD12" s="55">
        <f t="shared" si="11"/>
        <v>0.16395220864852342</v>
      </c>
      <c r="AE12" s="30" t="str">
        <f t="shared" si="12"/>
        <v>Cost-Effective</v>
      </c>
      <c r="AF12" s="30" t="s">
        <v>202</v>
      </c>
      <c r="AG12" s="30" t="s">
        <v>174</v>
      </c>
      <c r="AJ12" s="30" t="s">
        <v>148</v>
      </c>
    </row>
    <row r="13" spans="1:36" ht="12.75" customHeight="1">
      <c r="A13" s="40">
        <f t="shared" si="13"/>
        <v>6</v>
      </c>
      <c r="B13" s="40">
        <f t="shared" si="14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707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699</v>
      </c>
      <c r="P13" s="33">
        <v>2016</v>
      </c>
      <c r="Q13" s="30" t="s">
        <v>715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8"/>
        <v>Not Cost-Effective</v>
      </c>
      <c r="AB13" s="55">
        <f t="shared" si="9"/>
        <v>0.6481168977852142</v>
      </c>
      <c r="AC13" s="30" t="str">
        <f t="shared" si="10"/>
        <v>Not Cost-Effective</v>
      </c>
      <c r="AD13" s="55">
        <f t="shared" si="11"/>
        <v>0.16395220864852342</v>
      </c>
      <c r="AE13" s="30" t="str">
        <f t="shared" si="12"/>
        <v>Not Cost-Effective</v>
      </c>
      <c r="AF13" s="30" t="s">
        <v>210</v>
      </c>
      <c r="AG13" s="30" t="s">
        <v>174</v>
      </c>
      <c r="AJ13" s="30" t="s">
        <v>148</v>
      </c>
    </row>
    <row r="14" spans="1:36" ht="12.75" customHeight="1">
      <c r="A14" s="40">
        <f t="shared" si="13"/>
        <v>6</v>
      </c>
      <c r="B14" s="40">
        <f t="shared" si="14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707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699</v>
      </c>
      <c r="P14" s="33">
        <v>2016</v>
      </c>
      <c r="Q14" s="30" t="s">
        <v>716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8"/>
        <v>Not Cost-Effective</v>
      </c>
      <c r="AB14" s="55">
        <f t="shared" si="9"/>
        <v>0.6481168977852142</v>
      </c>
      <c r="AC14" s="30" t="str">
        <f t="shared" si="10"/>
        <v>Not Cost-Effective</v>
      </c>
      <c r="AD14" s="55">
        <f t="shared" si="11"/>
        <v>0.16395220864852342</v>
      </c>
      <c r="AE14" s="30" t="str">
        <f t="shared" si="12"/>
        <v>Not Cost-Effective</v>
      </c>
      <c r="AF14" s="30" t="s">
        <v>210</v>
      </c>
      <c r="AG14" s="30" t="s">
        <v>174</v>
      </c>
      <c r="AJ14" s="30" t="s">
        <v>148</v>
      </c>
    </row>
    <row r="15" spans="1:36" ht="12.75" customHeight="1">
      <c r="A15" s="40">
        <f t="shared" si="13"/>
        <v>7</v>
      </c>
      <c r="B15" s="40">
        <f t="shared" si="14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698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699</v>
      </c>
      <c r="P15" s="33">
        <v>2007</v>
      </c>
      <c r="Q15" s="30" t="s">
        <v>717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8"/>
        <v>Not Cost-Effective</v>
      </c>
      <c r="AB15" s="55">
        <f t="shared" si="9"/>
        <v>0.56444312933505247</v>
      </c>
      <c r="AC15" s="30" t="str">
        <f t="shared" si="10"/>
        <v>Not Cost-Effective</v>
      </c>
      <c r="AD15" s="55">
        <f t="shared" si="11"/>
        <v>0.31731694657870113</v>
      </c>
      <c r="AE15" s="30" t="str">
        <f t="shared" si="12"/>
        <v>Not Cost-Effective</v>
      </c>
      <c r="AF15" s="30" t="s">
        <v>173</v>
      </c>
      <c r="AG15" s="30" t="s">
        <v>174</v>
      </c>
      <c r="AJ15" s="30" t="s">
        <v>148</v>
      </c>
    </row>
    <row r="16" spans="1:36" ht="12.75" customHeight="1">
      <c r="A16" s="40">
        <f t="shared" si="13"/>
        <v>8</v>
      </c>
      <c r="B16" s="40">
        <f t="shared" si="14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705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699</v>
      </c>
      <c r="P16" s="33">
        <v>2010</v>
      </c>
      <c r="Q16" s="30" t="s">
        <v>718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8"/>
        <v>Not Cost-Effective</v>
      </c>
      <c r="AB16" s="55">
        <f t="shared" si="9"/>
        <v>0.56444312933505247</v>
      </c>
      <c r="AC16" s="30" t="str">
        <f t="shared" si="10"/>
        <v>Not Cost-Effective</v>
      </c>
      <c r="AD16" s="55">
        <f t="shared" si="11"/>
        <v>0.31731694657870113</v>
      </c>
      <c r="AE16" s="30" t="str">
        <f t="shared" si="12"/>
        <v>Not Cost-Effective</v>
      </c>
      <c r="AF16" s="30" t="s">
        <v>173</v>
      </c>
      <c r="AG16" s="30" t="s">
        <v>174</v>
      </c>
      <c r="AJ16" s="30" t="s">
        <v>148</v>
      </c>
    </row>
    <row r="17" spans="1:37" s="64" customFormat="1" ht="12.75" customHeight="1">
      <c r="A17" s="63">
        <f t="shared" si="13"/>
        <v>8</v>
      </c>
      <c r="B17" s="63">
        <f t="shared" si="14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719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699</v>
      </c>
      <c r="P17" s="72">
        <v>2010</v>
      </c>
      <c r="Q17" s="64" t="s">
        <v>720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8"/>
        <v>Not Cost-Effective</v>
      </c>
      <c r="AB17" s="76">
        <f t="shared" si="9"/>
        <v>0.56444312933505247</v>
      </c>
      <c r="AC17" s="64" t="str">
        <f t="shared" si="10"/>
        <v>Not Cost-Effective</v>
      </c>
      <c r="AD17" s="76">
        <f t="shared" si="11"/>
        <v>0.31731694657870113</v>
      </c>
      <c r="AE17" s="64" t="str">
        <f t="shared" si="12"/>
        <v>Not Cost-Effective</v>
      </c>
      <c r="AF17" s="64" t="s">
        <v>173</v>
      </c>
      <c r="AG17" s="64" t="s">
        <v>174</v>
      </c>
      <c r="AH17" s="64" t="s">
        <v>721</v>
      </c>
      <c r="AJ17" s="30" t="s">
        <v>148</v>
      </c>
      <c r="AK17" s="64" t="s">
        <v>722</v>
      </c>
    </row>
    <row r="18" spans="1:37" ht="12.75" customHeight="1">
      <c r="A18" s="40">
        <f t="shared" si="13"/>
        <v>9</v>
      </c>
      <c r="B18" s="40">
        <f t="shared" si="14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705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699</v>
      </c>
      <c r="P18" s="33">
        <v>2014</v>
      </c>
      <c r="Q18" s="30" t="s">
        <v>723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8"/>
        <v>Not Cost-Effective</v>
      </c>
      <c r="AB18" s="55">
        <f t="shared" si="9"/>
        <v>0.56444312933505247</v>
      </c>
      <c r="AC18" s="30" t="str">
        <f t="shared" si="10"/>
        <v>Not Cost-Effective</v>
      </c>
      <c r="AD18" s="55">
        <f t="shared" si="11"/>
        <v>0.31731694657870113</v>
      </c>
      <c r="AE18" s="30" t="str">
        <f t="shared" si="12"/>
        <v>Not Cost-Effective</v>
      </c>
      <c r="AF18" s="30" t="s">
        <v>173</v>
      </c>
      <c r="AG18" s="30" t="s">
        <v>174</v>
      </c>
      <c r="AJ18" s="30" t="s">
        <v>148</v>
      </c>
    </row>
    <row r="19" spans="1:37" s="64" customFormat="1" ht="12.75" customHeight="1">
      <c r="A19" s="63">
        <f t="shared" si="13"/>
        <v>9</v>
      </c>
      <c r="B19" s="63">
        <f t="shared" si="14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719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699</v>
      </c>
      <c r="P19" s="72">
        <v>2014</v>
      </c>
      <c r="Q19" s="64" t="s">
        <v>724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8"/>
        <v>Not Cost-Effective</v>
      </c>
      <c r="AB19" s="76">
        <f t="shared" si="9"/>
        <v>0.56444312933505247</v>
      </c>
      <c r="AC19" s="64" t="str">
        <f t="shared" si="10"/>
        <v>Not Cost-Effective</v>
      </c>
      <c r="AD19" s="76">
        <f t="shared" si="11"/>
        <v>0.31731694657870113</v>
      </c>
      <c r="AE19" s="64" t="str">
        <f t="shared" si="12"/>
        <v>Not Cost-Effective</v>
      </c>
      <c r="AF19" s="64" t="s">
        <v>173</v>
      </c>
      <c r="AG19" s="64" t="s">
        <v>174</v>
      </c>
      <c r="AH19" s="64" t="s">
        <v>721</v>
      </c>
      <c r="AJ19" s="30" t="s">
        <v>148</v>
      </c>
      <c r="AK19" s="64" t="s">
        <v>722</v>
      </c>
    </row>
    <row r="20" spans="1:37" ht="12.75" customHeight="1">
      <c r="A20" s="40">
        <f t="shared" si="13"/>
        <v>10</v>
      </c>
      <c r="B20" s="40">
        <f t="shared" si="14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705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699</v>
      </c>
      <c r="P20" s="33">
        <v>2014</v>
      </c>
      <c r="Q20" s="30" t="s">
        <v>725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8"/>
        <v>Not Cost-Effective</v>
      </c>
      <c r="AB20" s="55">
        <f t="shared" si="9"/>
        <v>0.56444312933505247</v>
      </c>
      <c r="AC20" s="30" t="str">
        <f t="shared" si="10"/>
        <v>Not Cost-Effective</v>
      </c>
      <c r="AD20" s="55">
        <f t="shared" si="11"/>
        <v>0.31731694657870113</v>
      </c>
      <c r="AE20" s="30" t="str">
        <f t="shared" si="12"/>
        <v>Not Cost-Effective</v>
      </c>
      <c r="AF20" s="30" t="s">
        <v>210</v>
      </c>
      <c r="AG20" s="30" t="s">
        <v>161</v>
      </c>
      <c r="AJ20" s="30" t="s">
        <v>148</v>
      </c>
    </row>
    <row r="21" spans="1:37" ht="12.75" customHeight="1">
      <c r="A21" s="40">
        <f t="shared" si="13"/>
        <v>10</v>
      </c>
      <c r="B21" s="40">
        <f t="shared" si="14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705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699</v>
      </c>
      <c r="P21" s="33">
        <v>2014</v>
      </c>
      <c r="Q21" s="30" t="s">
        <v>726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8"/>
        <v>Not Cost-Effective</v>
      </c>
      <c r="AB21" s="55">
        <f t="shared" si="9"/>
        <v>0.56444312933505247</v>
      </c>
      <c r="AC21" s="30" t="str">
        <f t="shared" si="10"/>
        <v>Not Cost-Effective</v>
      </c>
      <c r="AD21" s="55">
        <f t="shared" si="11"/>
        <v>0.31731694657870113</v>
      </c>
      <c r="AE21" s="30" t="str">
        <f t="shared" si="12"/>
        <v>Not Cost-Effective</v>
      </c>
      <c r="AF21" s="30" t="s">
        <v>210</v>
      </c>
      <c r="AG21" s="30" t="s">
        <v>161</v>
      </c>
      <c r="AJ21" s="30" t="s">
        <v>148</v>
      </c>
    </row>
    <row r="22" spans="1:37" ht="12.75" customHeight="1">
      <c r="A22" s="40">
        <f t="shared" si="13"/>
        <v>10</v>
      </c>
      <c r="B22" s="40">
        <f t="shared" si="14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707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699</v>
      </c>
      <c r="P22" s="33">
        <v>2014</v>
      </c>
      <c r="Q22" s="30" t="s">
        <v>727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8"/>
        <v>Not Cost-Effective</v>
      </c>
      <c r="AB22" s="55">
        <f t="shared" si="9"/>
        <v>0.56444312933505247</v>
      </c>
      <c r="AC22" s="30" t="str">
        <f t="shared" si="10"/>
        <v>Not Cost-Effective</v>
      </c>
      <c r="AD22" s="55">
        <f t="shared" si="11"/>
        <v>0.31731694657870113</v>
      </c>
      <c r="AE22" s="30" t="str">
        <f t="shared" si="12"/>
        <v>Not Cost-Effective</v>
      </c>
      <c r="AF22" s="30" t="s">
        <v>210</v>
      </c>
      <c r="AG22" s="30" t="s">
        <v>174</v>
      </c>
      <c r="AJ22" s="30" t="s">
        <v>148</v>
      </c>
    </row>
    <row r="23" spans="1:37" ht="12.75" customHeight="1">
      <c r="A23" s="40">
        <f t="shared" si="13"/>
        <v>10</v>
      </c>
      <c r="B23" s="40">
        <f t="shared" si="14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707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699</v>
      </c>
      <c r="P23" s="33">
        <v>2014</v>
      </c>
      <c r="Q23" s="30" t="s">
        <v>728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8"/>
        <v>Cost-Effective</v>
      </c>
      <c r="AB23" s="55">
        <f t="shared" si="9"/>
        <v>0.56444312933505247</v>
      </c>
      <c r="AC23" s="30" t="str">
        <f t="shared" si="10"/>
        <v>Cost-Effective</v>
      </c>
      <c r="AD23" s="55">
        <f t="shared" si="11"/>
        <v>0.31731694657870113</v>
      </c>
      <c r="AE23" s="30" t="str">
        <f t="shared" si="12"/>
        <v>Not Cost-Effective</v>
      </c>
      <c r="AF23" s="30" t="s">
        <v>210</v>
      </c>
      <c r="AG23" s="30" t="s">
        <v>174</v>
      </c>
      <c r="AJ23" s="30" t="s">
        <v>148</v>
      </c>
    </row>
    <row r="24" spans="1:37" ht="12.75" customHeight="1">
      <c r="A24" s="40">
        <f t="shared" si="13"/>
        <v>10</v>
      </c>
      <c r="B24" s="40">
        <f t="shared" si="14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729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699</v>
      </c>
      <c r="P24" s="33">
        <v>2014</v>
      </c>
      <c r="Q24" s="30" t="s">
        <v>730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8"/>
        <v>Cost-Effective</v>
      </c>
      <c r="AB24" s="55">
        <f t="shared" si="9"/>
        <v>0.56444312933505247</v>
      </c>
      <c r="AC24" s="30" t="str">
        <f t="shared" si="10"/>
        <v>Cost-Effective</v>
      </c>
      <c r="AD24" s="55">
        <f t="shared" si="11"/>
        <v>0.31731694657870113</v>
      </c>
      <c r="AE24" s="30" t="str">
        <f t="shared" si="12"/>
        <v>Cost-Effective</v>
      </c>
      <c r="AF24" s="30" t="s">
        <v>210</v>
      </c>
      <c r="AG24" s="30" t="s">
        <v>239</v>
      </c>
      <c r="AJ24" s="30" t="s">
        <v>148</v>
      </c>
    </row>
    <row r="25" spans="1:37" ht="12.75" customHeight="1">
      <c r="A25" s="40">
        <f t="shared" si="13"/>
        <v>10</v>
      </c>
      <c r="B25" s="40">
        <f t="shared" si="14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729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699</v>
      </c>
      <c r="P25" s="33">
        <v>2014</v>
      </c>
      <c r="Q25" s="30" t="s">
        <v>731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8"/>
        <v>Cost-Effective</v>
      </c>
      <c r="AB25" s="55">
        <f t="shared" si="9"/>
        <v>0.56444312933505247</v>
      </c>
      <c r="AC25" s="30" t="str">
        <f t="shared" si="10"/>
        <v>Cost-Effective</v>
      </c>
      <c r="AD25" s="55">
        <f t="shared" si="11"/>
        <v>0.31731694657870113</v>
      </c>
      <c r="AE25" s="30" t="str">
        <f t="shared" si="12"/>
        <v>Cost-Effective</v>
      </c>
      <c r="AF25" s="30" t="s">
        <v>210</v>
      </c>
      <c r="AG25" s="30" t="s">
        <v>239</v>
      </c>
      <c r="AJ25" s="30" t="s">
        <v>148</v>
      </c>
    </row>
    <row r="26" spans="1:37" ht="12.75" customHeight="1">
      <c r="A26" s="40">
        <f t="shared" si="13"/>
        <v>10</v>
      </c>
      <c r="B26" s="40">
        <f t="shared" si="14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707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699</v>
      </c>
      <c r="P26" s="33">
        <v>2014</v>
      </c>
      <c r="Q26" s="30" t="s">
        <v>732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8"/>
        <v>Not Cost-Effective</v>
      </c>
      <c r="AB26" s="55">
        <f t="shared" si="9"/>
        <v>0.56444312933505247</v>
      </c>
      <c r="AC26" s="30" t="str">
        <f t="shared" si="10"/>
        <v>Not Cost-Effective</v>
      </c>
      <c r="AD26" s="55">
        <f t="shared" si="11"/>
        <v>0.31731694657870113</v>
      </c>
      <c r="AE26" s="30" t="str">
        <f t="shared" si="12"/>
        <v>Not Cost-Effective</v>
      </c>
      <c r="AF26" s="30" t="s">
        <v>210</v>
      </c>
      <c r="AG26" s="30" t="s">
        <v>161</v>
      </c>
      <c r="AJ26" s="30" t="s">
        <v>148</v>
      </c>
    </row>
    <row r="27" spans="1:37" ht="12.75" customHeight="1">
      <c r="A27" s="40">
        <f t="shared" si="13"/>
        <v>10</v>
      </c>
      <c r="B27" s="40">
        <f t="shared" si="14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707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699</v>
      </c>
      <c r="P27" s="33">
        <v>2014</v>
      </c>
      <c r="Q27" s="30" t="s">
        <v>733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8"/>
        <v>Not Cost-Effective</v>
      </c>
      <c r="AB27" s="55">
        <f t="shared" si="9"/>
        <v>0.56444312933505247</v>
      </c>
      <c r="AC27" s="30" t="str">
        <f t="shared" si="10"/>
        <v>Not Cost-Effective</v>
      </c>
      <c r="AD27" s="55">
        <f t="shared" si="11"/>
        <v>0.31731694657870113</v>
      </c>
      <c r="AE27" s="30" t="str">
        <f t="shared" si="12"/>
        <v>Not Cost-Effective</v>
      </c>
      <c r="AF27" s="30" t="s">
        <v>210</v>
      </c>
      <c r="AG27" s="30" t="s">
        <v>161</v>
      </c>
      <c r="AJ27" s="30" t="s">
        <v>148</v>
      </c>
    </row>
    <row r="28" spans="1:37" ht="12.75" customHeight="1">
      <c r="A28" s="40">
        <f t="shared" si="13"/>
        <v>11</v>
      </c>
      <c r="B28" s="40">
        <f t="shared" si="14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707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699</v>
      </c>
      <c r="P28" s="33">
        <v>2017</v>
      </c>
      <c r="Q28" s="30" t="s">
        <v>734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8"/>
        <v>Not Cost-Effective</v>
      </c>
      <c r="AB28" s="55">
        <f t="shared" si="9"/>
        <v>0.53117718600199304</v>
      </c>
      <c r="AC28" s="30" t="str">
        <f t="shared" si="10"/>
        <v>Cost-Effective</v>
      </c>
      <c r="AD28" s="55">
        <f t="shared" si="11"/>
        <v>7.9331657649648321E-2</v>
      </c>
      <c r="AE28" s="30" t="str">
        <f t="shared" si="12"/>
        <v>Not Cost-Effective</v>
      </c>
      <c r="AF28" s="30" t="s">
        <v>210</v>
      </c>
      <c r="AG28" s="30" t="s">
        <v>174</v>
      </c>
      <c r="AJ28" s="30" t="s">
        <v>148</v>
      </c>
    </row>
    <row r="29" spans="1:37" ht="12.75" customHeight="1">
      <c r="A29" s="40">
        <f t="shared" si="13"/>
        <v>12</v>
      </c>
      <c r="B29" s="40">
        <f t="shared" si="14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705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8"/>
        <v>Cost-Effective</v>
      </c>
      <c r="AB29" s="55">
        <f t="shared" si="9"/>
        <v>0.63924009905265922</v>
      </c>
      <c r="AC29" s="30" t="str">
        <f t="shared" si="10"/>
        <v>Cost-Effective</v>
      </c>
      <c r="AD29" s="55">
        <f t="shared" si="11"/>
        <v>0.19146400126329965</v>
      </c>
      <c r="AE29" s="30" t="str">
        <f t="shared" si="12"/>
        <v>Cost-Effective</v>
      </c>
      <c r="AF29" s="30" t="s">
        <v>257</v>
      </c>
      <c r="AG29" s="30" t="s">
        <v>239</v>
      </c>
      <c r="AH29" s="30" t="s">
        <v>258</v>
      </c>
      <c r="AJ29" s="30" t="s">
        <v>148</v>
      </c>
    </row>
    <row r="30" spans="1:37" ht="12.75" customHeight="1">
      <c r="A30" s="40">
        <f t="shared" si="13"/>
        <v>12</v>
      </c>
      <c r="B30" s="40">
        <f t="shared" si="14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705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8"/>
        <v>Cost-Effective</v>
      </c>
      <c r="AB30" s="55">
        <f t="shared" si="9"/>
        <v>0.63924009905265922</v>
      </c>
      <c r="AC30" s="30" t="str">
        <f t="shared" si="10"/>
        <v>Cost-Effective</v>
      </c>
      <c r="AD30" s="55">
        <f t="shared" si="11"/>
        <v>0.19146400126329965</v>
      </c>
      <c r="AE30" s="30" t="str">
        <f t="shared" si="12"/>
        <v>Cost-Effective</v>
      </c>
      <c r="AF30" s="30" t="s">
        <v>257</v>
      </c>
      <c r="AG30" s="30" t="s">
        <v>239</v>
      </c>
      <c r="AJ30" s="30" t="s">
        <v>148</v>
      </c>
    </row>
    <row r="31" spans="1:37" ht="12.75" customHeight="1">
      <c r="A31" s="40">
        <f t="shared" si="13"/>
        <v>12</v>
      </c>
      <c r="B31" s="40">
        <f t="shared" si="14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707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8"/>
        <v>Cost-Effective</v>
      </c>
      <c r="AB31" s="55">
        <f t="shared" si="9"/>
        <v>0.63924009905265922</v>
      </c>
      <c r="AC31" s="30" t="str">
        <f t="shared" si="10"/>
        <v>Cost-Effective</v>
      </c>
      <c r="AD31" s="55">
        <f t="shared" si="11"/>
        <v>0.19146400126329965</v>
      </c>
      <c r="AE31" s="30" t="str">
        <f t="shared" si="12"/>
        <v>Cost-Effective</v>
      </c>
      <c r="AF31" s="30" t="s">
        <v>257</v>
      </c>
      <c r="AG31" s="30" t="s">
        <v>239</v>
      </c>
      <c r="AJ31" s="30" t="s">
        <v>148</v>
      </c>
    </row>
    <row r="32" spans="1:37" ht="12.75" customHeight="1">
      <c r="A32" s="40">
        <f t="shared" si="13"/>
        <v>12</v>
      </c>
      <c r="B32" s="40">
        <f t="shared" si="14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707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8"/>
        <v>Cost-Effective</v>
      </c>
      <c r="AB32" s="55">
        <f t="shared" si="9"/>
        <v>0.63924009905265922</v>
      </c>
      <c r="AC32" s="30" t="str">
        <f t="shared" si="10"/>
        <v>Cost-Effective</v>
      </c>
      <c r="AD32" s="55">
        <f t="shared" si="11"/>
        <v>0.19146400126329965</v>
      </c>
      <c r="AE32" s="30" t="str">
        <f t="shared" si="12"/>
        <v>Cost-Effective</v>
      </c>
      <c r="AF32" s="30" t="s">
        <v>257</v>
      </c>
      <c r="AG32" s="30" t="s">
        <v>239</v>
      </c>
      <c r="AJ32" s="30" t="s">
        <v>148</v>
      </c>
    </row>
    <row r="33" spans="1:36" ht="12.75" customHeight="1">
      <c r="A33" s="40">
        <f t="shared" si="13"/>
        <v>12</v>
      </c>
      <c r="B33" s="40">
        <f t="shared" si="14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705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8"/>
        <v>Not Cost-Effective</v>
      </c>
      <c r="AB33" s="55">
        <f t="shared" si="9"/>
        <v>0.63924009905265922</v>
      </c>
      <c r="AC33" s="30" t="str">
        <f t="shared" si="10"/>
        <v>Not Cost-Effective</v>
      </c>
      <c r="AD33" s="55">
        <f t="shared" si="11"/>
        <v>0.19146400126329965</v>
      </c>
      <c r="AE33" s="30" t="str">
        <f t="shared" si="12"/>
        <v>Not Cost-Effective</v>
      </c>
      <c r="AF33" s="30" t="s">
        <v>257</v>
      </c>
      <c r="AG33" s="30" t="s">
        <v>161</v>
      </c>
      <c r="AJ33" s="30" t="s">
        <v>148</v>
      </c>
    </row>
    <row r="34" spans="1:36" ht="12.75" customHeight="1">
      <c r="A34" s="40">
        <f t="shared" si="13"/>
        <v>12</v>
      </c>
      <c r="B34" s="40">
        <f t="shared" si="14"/>
        <v>6</v>
      </c>
      <c r="C34" s="51" t="str">
        <f t="shared" ref="C34:C65" si="15">_xlfn.CONCAT(TEXT(A34,"00"),TEXT(B34,"00"))</f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705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ref="T34:T65" si="16">VLOOKUP(G34,gdppc,P34-1958,FALSE)</f>
        <v>7296.8796080000002</v>
      </c>
      <c r="U34" s="30" t="str">
        <f t="shared" ref="U34:U65" si="17">IF(S34&lt;T34,"Cost-Effective","Not Cost-Effective")</f>
        <v>Cost-Effective</v>
      </c>
      <c r="V34" s="30" t="str">
        <f t="shared" ref="V34:V65" si="18">IF(S34&lt;T34*3,"Cost-Effective","Not Cost-Effective")</f>
        <v>Cost-Effective</v>
      </c>
      <c r="W34" s="41">
        <f t="shared" ref="W34:W65" si="19">S34/T34</f>
        <v>0.72291412093229457</v>
      </c>
      <c r="X34" s="55">
        <f t="shared" ref="X34:X65" si="20">IFERROR(VLOOKUP(G34,ochalek,11,FALSE),0)</f>
        <v>1.1200000000000001</v>
      </c>
      <c r="Y34" s="30" t="str">
        <f t="shared" ref="Y34:Y65" si="21">IF( W34&lt;X34, "Cost-Effective", IF( W34-X34=W34, "No Threshold", "Not Cost-Effective"))</f>
        <v>Cost-Effective</v>
      </c>
      <c r="Z34" s="55">
        <f t="shared" ref="Z34:Z65" si="22">IFERROR(VLOOKUP(G34,ochalek,10,FALSE),0)</f>
        <v>0.7</v>
      </c>
      <c r="AA34" s="30" t="str">
        <f t="shared" ref="AA34:AA65" si="23">IF( W34&lt;Z34, "Cost-Effective", IF( W34-Z34=W34, "No Threshold", "Not Cost-Effective"))</f>
        <v>Not Cost-Effective</v>
      </c>
      <c r="AB34" s="55">
        <f t="shared" ref="AB34:AB65" si="24">IFERROR(VLOOKUP(G34,woods,6,FALSE),0)</f>
        <v>0.63924009905265922</v>
      </c>
      <c r="AC34" s="30" t="str">
        <f t="shared" ref="AC34:AC65" si="25">IF( W34&lt;AB34, "Cost-Effective", IF( W34-AB34=W34, "No Threshold", "Not Cost-Effective"))</f>
        <v>Not Cost-Effective</v>
      </c>
      <c r="AD34" s="55">
        <f t="shared" ref="AD34:AD65" si="26">IFERROR(VLOOKUP(G34,woods,5,FALSE),0)</f>
        <v>0.19146400126329965</v>
      </c>
      <c r="AE34" s="30" t="str">
        <f t="shared" ref="AE34:AE65" si="27">IF( W34&lt;AD34, "Cost-Effective", IF( W34-AD34=W34, "No Threshold", "Not Cost-Effective"))</f>
        <v>Not Cost-Effective</v>
      </c>
      <c r="AF34" s="30" t="s">
        <v>257</v>
      </c>
      <c r="AG34" s="30" t="s">
        <v>161</v>
      </c>
      <c r="AJ34" s="30" t="s">
        <v>148</v>
      </c>
    </row>
    <row r="35" spans="1:36" ht="12.75" customHeight="1">
      <c r="A35" s="40">
        <f t="shared" ref="A35:A59" si="28">IF(F35=F34,A34,A34+1)</f>
        <v>12</v>
      </c>
      <c r="B35" s="40">
        <f t="shared" ref="B35:B59" si="29">IF(F35=F34,B34+1,1)</f>
        <v>7</v>
      </c>
      <c r="C35" s="51" t="str">
        <f t="shared" si="15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707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6"/>
        <v>7296.8796080000002</v>
      </c>
      <c r="U35" s="30" t="str">
        <f t="shared" si="17"/>
        <v>Cost-Effective</v>
      </c>
      <c r="V35" s="30" t="str">
        <f t="shared" si="18"/>
        <v>Cost-Effective</v>
      </c>
      <c r="W35" s="41">
        <f t="shared" si="19"/>
        <v>0.41256965112600757</v>
      </c>
      <c r="X35" s="55">
        <f t="shared" si="20"/>
        <v>1.1200000000000001</v>
      </c>
      <c r="Y35" s="30" t="str">
        <f t="shared" si="21"/>
        <v>Cost-Effective</v>
      </c>
      <c r="Z35" s="55">
        <f t="shared" si="22"/>
        <v>0.7</v>
      </c>
      <c r="AA35" s="30" t="str">
        <f t="shared" si="23"/>
        <v>Cost-Effective</v>
      </c>
      <c r="AB35" s="55">
        <f t="shared" si="24"/>
        <v>0.63924009905265922</v>
      </c>
      <c r="AC35" s="30" t="str">
        <f t="shared" si="25"/>
        <v>Cost-Effective</v>
      </c>
      <c r="AD35" s="55">
        <f t="shared" si="26"/>
        <v>0.19146400126329965</v>
      </c>
      <c r="AE35" s="30" t="str">
        <f t="shared" si="27"/>
        <v>Not Cost-Effective</v>
      </c>
      <c r="AF35" s="30" t="s">
        <v>257</v>
      </c>
      <c r="AG35" s="30" t="s">
        <v>174</v>
      </c>
      <c r="AJ35" s="30" t="s">
        <v>148</v>
      </c>
    </row>
    <row r="36" spans="1:36" ht="12.75" customHeight="1">
      <c r="A36" s="40">
        <f t="shared" si="28"/>
        <v>12</v>
      </c>
      <c r="B36" s="40">
        <f t="shared" si="29"/>
        <v>8</v>
      </c>
      <c r="C36" s="51" t="str">
        <f t="shared" si="15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707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6"/>
        <v>7296.8796080000002</v>
      </c>
      <c r="U36" s="30" t="str">
        <f t="shared" si="17"/>
        <v>Cost-Effective</v>
      </c>
      <c r="V36" s="30" t="str">
        <f t="shared" si="18"/>
        <v>Cost-Effective</v>
      </c>
      <c r="W36" s="41">
        <f t="shared" si="19"/>
        <v>0.31249068538853575</v>
      </c>
      <c r="X36" s="55">
        <f t="shared" si="20"/>
        <v>1.1200000000000001</v>
      </c>
      <c r="Y36" s="30" t="str">
        <f t="shared" si="21"/>
        <v>Cost-Effective</v>
      </c>
      <c r="Z36" s="55">
        <f t="shared" si="22"/>
        <v>0.7</v>
      </c>
      <c r="AA36" s="30" t="str">
        <f t="shared" si="23"/>
        <v>Cost-Effective</v>
      </c>
      <c r="AB36" s="55">
        <f t="shared" si="24"/>
        <v>0.63924009905265922</v>
      </c>
      <c r="AC36" s="30" t="str">
        <f t="shared" si="25"/>
        <v>Cost-Effective</v>
      </c>
      <c r="AD36" s="55">
        <f t="shared" si="26"/>
        <v>0.19146400126329965</v>
      </c>
      <c r="AE36" s="30" t="str">
        <f t="shared" si="27"/>
        <v>Not Cost-Effective</v>
      </c>
      <c r="AF36" s="30" t="s">
        <v>257</v>
      </c>
      <c r="AG36" s="30" t="s">
        <v>174</v>
      </c>
      <c r="AJ36" s="30" t="s">
        <v>148</v>
      </c>
    </row>
    <row r="37" spans="1:36" ht="12.75" customHeight="1">
      <c r="A37" s="40">
        <f t="shared" si="28"/>
        <v>13</v>
      </c>
      <c r="B37" s="40">
        <f t="shared" si="29"/>
        <v>1</v>
      </c>
      <c r="C37" s="51" t="str">
        <f t="shared" si="15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705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6"/>
        <v>5076.3398719999996</v>
      </c>
      <c r="U37" s="30" t="str">
        <f t="shared" si="17"/>
        <v>Not Cost-Effective</v>
      </c>
      <c r="V37" s="30" t="str">
        <f t="shared" si="18"/>
        <v>Not Cost-Effective</v>
      </c>
      <c r="W37" s="41">
        <f t="shared" si="19"/>
        <v>3.2291412559487336</v>
      </c>
      <c r="X37" s="55">
        <f t="shared" si="20"/>
        <v>1.1200000000000001</v>
      </c>
      <c r="Y37" s="30" t="str">
        <f t="shared" si="21"/>
        <v>Not Cost-Effective</v>
      </c>
      <c r="Z37" s="55">
        <f t="shared" si="22"/>
        <v>0.7</v>
      </c>
      <c r="AA37" s="30" t="str">
        <f t="shared" si="23"/>
        <v>Not Cost-Effective</v>
      </c>
      <c r="AB37" s="55">
        <f t="shared" si="24"/>
        <v>0.63924009905265922</v>
      </c>
      <c r="AC37" s="30" t="str">
        <f t="shared" si="25"/>
        <v>Not Cost-Effective</v>
      </c>
      <c r="AD37" s="55">
        <f t="shared" si="26"/>
        <v>0.19146400126329965</v>
      </c>
      <c r="AE37" s="30" t="str">
        <f t="shared" si="27"/>
        <v>Not Cost-Effective</v>
      </c>
      <c r="AF37" s="30" t="s">
        <v>275</v>
      </c>
      <c r="AG37" s="30" t="s">
        <v>161</v>
      </c>
      <c r="AJ37" s="30" t="s">
        <v>148</v>
      </c>
    </row>
    <row r="38" spans="1:36" ht="12.75" customHeight="1">
      <c r="A38" s="40">
        <f t="shared" si="28"/>
        <v>13</v>
      </c>
      <c r="B38" s="40">
        <f t="shared" si="29"/>
        <v>2</v>
      </c>
      <c r="C38" s="51" t="str">
        <f t="shared" si="15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705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6"/>
        <v>5076.3398719999996</v>
      </c>
      <c r="U38" s="30" t="str">
        <f t="shared" si="17"/>
        <v>Not Cost-Effective</v>
      </c>
      <c r="V38" s="30" t="str">
        <f t="shared" si="18"/>
        <v>Not Cost-Effective</v>
      </c>
      <c r="W38" s="41">
        <f t="shared" si="19"/>
        <v>4.0416380309857054</v>
      </c>
      <c r="X38" s="55">
        <f t="shared" si="20"/>
        <v>1.1200000000000001</v>
      </c>
      <c r="Y38" s="30" t="str">
        <f t="shared" si="21"/>
        <v>Not Cost-Effective</v>
      </c>
      <c r="Z38" s="55">
        <f t="shared" si="22"/>
        <v>0.7</v>
      </c>
      <c r="AA38" s="30" t="str">
        <f t="shared" si="23"/>
        <v>Not Cost-Effective</v>
      </c>
      <c r="AB38" s="55">
        <f t="shared" si="24"/>
        <v>0.63924009905265922</v>
      </c>
      <c r="AC38" s="30" t="str">
        <f t="shared" si="25"/>
        <v>Not Cost-Effective</v>
      </c>
      <c r="AD38" s="55">
        <f t="shared" si="26"/>
        <v>0.19146400126329965</v>
      </c>
      <c r="AE38" s="30" t="str">
        <f t="shared" si="27"/>
        <v>Not Cost-Effective</v>
      </c>
      <c r="AF38" s="30" t="s">
        <v>275</v>
      </c>
      <c r="AG38" s="30" t="s">
        <v>161</v>
      </c>
      <c r="AJ38" s="30" t="s">
        <v>148</v>
      </c>
    </row>
    <row r="39" spans="1:36" ht="12.75" customHeight="1">
      <c r="A39" s="40">
        <f t="shared" si="28"/>
        <v>13</v>
      </c>
      <c r="B39" s="40">
        <f t="shared" si="29"/>
        <v>3</v>
      </c>
      <c r="C39" s="51" t="str">
        <f t="shared" si="15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705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6"/>
        <v>5076.3398719999996</v>
      </c>
      <c r="U39" s="30" t="str">
        <f t="shared" si="17"/>
        <v>Not Cost-Effective</v>
      </c>
      <c r="V39" s="30" t="str">
        <f t="shared" si="18"/>
        <v>Not Cost-Effective</v>
      </c>
      <c r="W39" s="41">
        <f t="shared" si="19"/>
        <v>8.5054028527361343</v>
      </c>
      <c r="X39" s="55">
        <f t="shared" si="20"/>
        <v>1.1200000000000001</v>
      </c>
      <c r="Y39" s="30" t="str">
        <f t="shared" si="21"/>
        <v>Not Cost-Effective</v>
      </c>
      <c r="Z39" s="55">
        <f t="shared" si="22"/>
        <v>0.7</v>
      </c>
      <c r="AA39" s="30" t="str">
        <f t="shared" si="23"/>
        <v>Not Cost-Effective</v>
      </c>
      <c r="AB39" s="55">
        <f t="shared" si="24"/>
        <v>0.63924009905265922</v>
      </c>
      <c r="AC39" s="30" t="str">
        <f t="shared" si="25"/>
        <v>Not Cost-Effective</v>
      </c>
      <c r="AD39" s="55">
        <f t="shared" si="26"/>
        <v>0.19146400126329965</v>
      </c>
      <c r="AE39" s="30" t="str">
        <f t="shared" si="27"/>
        <v>Not Cost-Effective</v>
      </c>
      <c r="AF39" s="30" t="s">
        <v>275</v>
      </c>
      <c r="AG39" s="30" t="s">
        <v>161</v>
      </c>
      <c r="AJ39" s="30" t="s">
        <v>148</v>
      </c>
    </row>
    <row r="40" spans="1:36" ht="12.75" customHeight="1">
      <c r="A40" s="40">
        <f t="shared" si="28"/>
        <v>13</v>
      </c>
      <c r="B40" s="40">
        <f t="shared" si="29"/>
        <v>4</v>
      </c>
      <c r="C40" s="51" t="str">
        <f t="shared" si="15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705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6"/>
        <v>5076.3398719999996</v>
      </c>
      <c r="U40" s="30" t="str">
        <f t="shared" si="17"/>
        <v>Not Cost-Effective</v>
      </c>
      <c r="V40" s="30" t="str">
        <f t="shared" si="18"/>
        <v>Not Cost-Effective</v>
      </c>
      <c r="W40" s="41">
        <f t="shared" si="19"/>
        <v>10.428386906332186</v>
      </c>
      <c r="X40" s="55">
        <f t="shared" si="20"/>
        <v>1.1200000000000001</v>
      </c>
      <c r="Y40" s="30" t="str">
        <f t="shared" si="21"/>
        <v>Not Cost-Effective</v>
      </c>
      <c r="Z40" s="55">
        <f t="shared" si="22"/>
        <v>0.7</v>
      </c>
      <c r="AA40" s="30" t="str">
        <f t="shared" si="23"/>
        <v>Not Cost-Effective</v>
      </c>
      <c r="AB40" s="55">
        <f t="shared" si="24"/>
        <v>0.63924009905265922</v>
      </c>
      <c r="AC40" s="30" t="str">
        <f t="shared" si="25"/>
        <v>Not Cost-Effective</v>
      </c>
      <c r="AD40" s="55">
        <f t="shared" si="26"/>
        <v>0.19146400126329965</v>
      </c>
      <c r="AE40" s="30" t="str">
        <f t="shared" si="27"/>
        <v>Not Cost-Effective</v>
      </c>
      <c r="AF40" s="30" t="s">
        <v>275</v>
      </c>
      <c r="AG40" s="30" t="s">
        <v>161</v>
      </c>
      <c r="AJ40" s="30" t="s">
        <v>148</v>
      </c>
    </row>
    <row r="41" spans="1:36" ht="12.75" customHeight="1">
      <c r="A41" s="40">
        <f t="shared" si="28"/>
        <v>13</v>
      </c>
      <c r="B41" s="40">
        <f t="shared" si="29"/>
        <v>5</v>
      </c>
      <c r="C41" s="51" t="str">
        <f t="shared" si="15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707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6"/>
        <v>5076.3398719999996</v>
      </c>
      <c r="U41" s="30" t="str">
        <f t="shared" si="17"/>
        <v>Not Cost-Effective</v>
      </c>
      <c r="V41" s="30" t="str">
        <f t="shared" si="18"/>
        <v>Not Cost-Effective</v>
      </c>
      <c r="W41" s="41">
        <f t="shared" si="19"/>
        <v>3.2787472776800324</v>
      </c>
      <c r="X41" s="55">
        <f t="shared" si="20"/>
        <v>1.1200000000000001</v>
      </c>
      <c r="Y41" s="30" t="str">
        <f t="shared" si="21"/>
        <v>Not Cost-Effective</v>
      </c>
      <c r="Z41" s="55">
        <f t="shared" si="22"/>
        <v>0.7</v>
      </c>
      <c r="AA41" s="30" t="str">
        <f t="shared" si="23"/>
        <v>Not Cost-Effective</v>
      </c>
      <c r="AB41" s="55">
        <f t="shared" si="24"/>
        <v>0.63924009905265922</v>
      </c>
      <c r="AC41" s="30" t="str">
        <f t="shared" si="25"/>
        <v>Not Cost-Effective</v>
      </c>
      <c r="AD41" s="55">
        <f t="shared" si="26"/>
        <v>0.19146400126329965</v>
      </c>
      <c r="AE41" s="30" t="str">
        <f t="shared" si="27"/>
        <v>Not Cost-Effective</v>
      </c>
      <c r="AF41" s="30" t="s">
        <v>275</v>
      </c>
      <c r="AG41" s="30" t="s">
        <v>161</v>
      </c>
      <c r="AJ41" s="30" t="s">
        <v>148</v>
      </c>
    </row>
    <row r="42" spans="1:36" ht="12.75" customHeight="1">
      <c r="A42" s="40">
        <f t="shared" si="28"/>
        <v>13</v>
      </c>
      <c r="B42" s="40">
        <f t="shared" si="29"/>
        <v>6</v>
      </c>
      <c r="C42" s="51" t="str">
        <f t="shared" si="15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707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6"/>
        <v>5076.3398719999996</v>
      </c>
      <c r="U42" s="30" t="str">
        <f t="shared" si="17"/>
        <v>Not Cost-Effective</v>
      </c>
      <c r="V42" s="30" t="str">
        <f t="shared" si="18"/>
        <v>Not Cost-Effective</v>
      </c>
      <c r="W42" s="41">
        <f t="shared" si="19"/>
        <v>4.1073835730095789</v>
      </c>
      <c r="X42" s="55">
        <f t="shared" si="20"/>
        <v>1.1200000000000001</v>
      </c>
      <c r="Y42" s="30" t="str">
        <f t="shared" si="21"/>
        <v>Not Cost-Effective</v>
      </c>
      <c r="Z42" s="55">
        <f t="shared" si="22"/>
        <v>0.7</v>
      </c>
      <c r="AA42" s="30" t="str">
        <f t="shared" si="23"/>
        <v>Not Cost-Effective</v>
      </c>
      <c r="AB42" s="55">
        <f t="shared" si="24"/>
        <v>0.63924009905265922</v>
      </c>
      <c r="AC42" s="30" t="str">
        <f t="shared" si="25"/>
        <v>Not Cost-Effective</v>
      </c>
      <c r="AD42" s="55">
        <f t="shared" si="26"/>
        <v>0.19146400126329965</v>
      </c>
      <c r="AE42" s="30" t="str">
        <f t="shared" si="27"/>
        <v>Not Cost-Effective</v>
      </c>
      <c r="AF42" s="30" t="s">
        <v>275</v>
      </c>
      <c r="AG42" s="30" t="s">
        <v>161</v>
      </c>
      <c r="AJ42" s="30" t="s">
        <v>148</v>
      </c>
    </row>
    <row r="43" spans="1:36" ht="12.75" customHeight="1">
      <c r="A43" s="40">
        <f t="shared" si="28"/>
        <v>13</v>
      </c>
      <c r="B43" s="40">
        <f t="shared" si="29"/>
        <v>7</v>
      </c>
      <c r="C43" s="51" t="str">
        <f t="shared" si="15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707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6"/>
        <v>5076.3398719999996</v>
      </c>
      <c r="U43" s="30" t="str">
        <f t="shared" si="17"/>
        <v>Not Cost-Effective</v>
      </c>
      <c r="V43" s="30" t="str">
        <f t="shared" si="18"/>
        <v>Not Cost-Effective</v>
      </c>
      <c r="W43" s="41">
        <f t="shared" si="19"/>
        <v>9.2653342795166669</v>
      </c>
      <c r="X43" s="55">
        <f t="shared" si="20"/>
        <v>1.1200000000000001</v>
      </c>
      <c r="Y43" s="30" t="str">
        <f t="shared" si="21"/>
        <v>Not Cost-Effective</v>
      </c>
      <c r="Z43" s="55">
        <f t="shared" si="22"/>
        <v>0.7</v>
      </c>
      <c r="AA43" s="30" t="str">
        <f t="shared" si="23"/>
        <v>Not Cost-Effective</v>
      </c>
      <c r="AB43" s="55">
        <f t="shared" si="24"/>
        <v>0.63924009905265922</v>
      </c>
      <c r="AC43" s="30" t="str">
        <f t="shared" si="25"/>
        <v>Not Cost-Effective</v>
      </c>
      <c r="AD43" s="55">
        <f t="shared" si="26"/>
        <v>0.19146400126329965</v>
      </c>
      <c r="AE43" s="30" t="str">
        <f t="shared" si="27"/>
        <v>Not Cost-Effective</v>
      </c>
      <c r="AF43" s="30" t="s">
        <v>275</v>
      </c>
      <c r="AG43" s="30" t="s">
        <v>161</v>
      </c>
      <c r="AJ43" s="30" t="s">
        <v>148</v>
      </c>
    </row>
    <row r="44" spans="1:36" ht="12.75" customHeight="1">
      <c r="A44" s="40">
        <f t="shared" si="28"/>
        <v>13</v>
      </c>
      <c r="B44" s="40">
        <f t="shared" si="29"/>
        <v>8</v>
      </c>
      <c r="C44" s="51" t="str">
        <f t="shared" si="15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707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6"/>
        <v>5076.3398719999996</v>
      </c>
      <c r="U44" s="30" t="str">
        <f t="shared" si="17"/>
        <v>Not Cost-Effective</v>
      </c>
      <c r="V44" s="30" t="str">
        <f t="shared" si="18"/>
        <v>Not Cost-Effective</v>
      </c>
      <c r="W44" s="41">
        <f t="shared" si="19"/>
        <v>11.381694157142086</v>
      </c>
      <c r="X44" s="55">
        <f t="shared" si="20"/>
        <v>1.1200000000000001</v>
      </c>
      <c r="Y44" s="30" t="str">
        <f t="shared" si="21"/>
        <v>Not Cost-Effective</v>
      </c>
      <c r="Z44" s="55">
        <f t="shared" si="22"/>
        <v>0.7</v>
      </c>
      <c r="AA44" s="30" t="str">
        <f t="shared" si="23"/>
        <v>Not Cost-Effective</v>
      </c>
      <c r="AB44" s="55">
        <f t="shared" si="24"/>
        <v>0.63924009905265922</v>
      </c>
      <c r="AC44" s="30" t="str">
        <f t="shared" si="25"/>
        <v>Not Cost-Effective</v>
      </c>
      <c r="AD44" s="55">
        <f t="shared" si="26"/>
        <v>0.19146400126329965</v>
      </c>
      <c r="AE44" s="30" t="str">
        <f t="shared" si="27"/>
        <v>Not Cost-Effective</v>
      </c>
      <c r="AF44" s="30" t="s">
        <v>275</v>
      </c>
      <c r="AG44" s="30" t="s">
        <v>161</v>
      </c>
      <c r="AJ44" s="30" t="s">
        <v>148</v>
      </c>
    </row>
    <row r="45" spans="1:36" ht="12.75" customHeight="1">
      <c r="A45" s="40">
        <f t="shared" si="28"/>
        <v>14</v>
      </c>
      <c r="B45" s="40">
        <f t="shared" si="29"/>
        <v>1</v>
      </c>
      <c r="C45" s="51" t="str">
        <f t="shared" si="15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705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735</v>
      </c>
      <c r="R45" s="35">
        <v>68182</v>
      </c>
      <c r="S45" s="32">
        <f>R45/xRates!$S$157</f>
        <v>1606.3163337763128</v>
      </c>
      <c r="T45" s="32">
        <f t="shared" si="16"/>
        <v>2871.4297013483701</v>
      </c>
      <c r="U45" s="30" t="str">
        <f t="shared" si="17"/>
        <v>Cost-Effective</v>
      </c>
      <c r="V45" s="30" t="str">
        <f t="shared" si="18"/>
        <v>Cost-Effective</v>
      </c>
      <c r="W45" s="41">
        <f t="shared" si="19"/>
        <v>0.55941342844716568</v>
      </c>
      <c r="X45" s="55">
        <f t="shared" si="20"/>
        <v>0.34</v>
      </c>
      <c r="Y45" s="30" t="str">
        <f t="shared" si="21"/>
        <v>Not Cost-Effective</v>
      </c>
      <c r="Z45" s="55">
        <f t="shared" si="22"/>
        <v>0.23</v>
      </c>
      <c r="AA45" s="30" t="str">
        <f t="shared" si="23"/>
        <v>Not Cost-Effective</v>
      </c>
      <c r="AB45" s="55">
        <f t="shared" si="24"/>
        <v>0.49487542715488553</v>
      </c>
      <c r="AC45" s="30" t="str">
        <f t="shared" si="25"/>
        <v>Not Cost-Effective</v>
      </c>
      <c r="AD45" s="55">
        <f t="shared" si="26"/>
        <v>8.9154193773153201E-2</v>
      </c>
      <c r="AE45" s="30" t="str">
        <f t="shared" si="27"/>
        <v>Not Cost-Effective</v>
      </c>
      <c r="AF45" s="30" t="s">
        <v>736</v>
      </c>
      <c r="AG45" s="30" t="s">
        <v>174</v>
      </c>
      <c r="AJ45" s="30" t="s">
        <v>148</v>
      </c>
    </row>
    <row r="46" spans="1:36" ht="12.75" customHeight="1">
      <c r="A46" s="40">
        <f t="shared" si="28"/>
        <v>14</v>
      </c>
      <c r="B46" s="40">
        <f t="shared" si="29"/>
        <v>2</v>
      </c>
      <c r="C46" s="51" t="str">
        <f t="shared" si="15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705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737</v>
      </c>
      <c r="R46" s="35">
        <v>112640</v>
      </c>
      <c r="S46" s="32">
        <f>R46/xRates!$S$157</f>
        <v>2653.7131770344645</v>
      </c>
      <c r="T46" s="32">
        <f t="shared" si="16"/>
        <v>2871.4297013483701</v>
      </c>
      <c r="U46" s="30" t="str">
        <f t="shared" si="17"/>
        <v>Cost-Effective</v>
      </c>
      <c r="V46" s="30" t="str">
        <f t="shared" si="18"/>
        <v>Cost-Effective</v>
      </c>
      <c r="W46" s="41">
        <f t="shared" si="19"/>
        <v>0.92417835470195564</v>
      </c>
      <c r="X46" s="55">
        <f t="shared" si="20"/>
        <v>0.34</v>
      </c>
      <c r="Y46" s="30" t="str">
        <f t="shared" si="21"/>
        <v>Not Cost-Effective</v>
      </c>
      <c r="Z46" s="55">
        <f t="shared" si="22"/>
        <v>0.23</v>
      </c>
      <c r="AA46" s="30" t="str">
        <f t="shared" si="23"/>
        <v>Not Cost-Effective</v>
      </c>
      <c r="AB46" s="55">
        <f t="shared" si="24"/>
        <v>0.49487542715488553</v>
      </c>
      <c r="AC46" s="30" t="str">
        <f t="shared" si="25"/>
        <v>Not Cost-Effective</v>
      </c>
      <c r="AD46" s="55">
        <f t="shared" si="26"/>
        <v>8.9154193773153201E-2</v>
      </c>
      <c r="AE46" s="30" t="str">
        <f t="shared" si="27"/>
        <v>Not Cost-Effective</v>
      </c>
      <c r="AF46" s="30" t="s">
        <v>736</v>
      </c>
      <c r="AG46" s="30" t="s">
        <v>174</v>
      </c>
      <c r="AJ46" s="30" t="s">
        <v>148</v>
      </c>
    </row>
    <row r="47" spans="1:36" ht="12.75" customHeight="1">
      <c r="A47" s="40">
        <f t="shared" si="28"/>
        <v>14</v>
      </c>
      <c r="B47" s="40">
        <f t="shared" si="29"/>
        <v>3</v>
      </c>
      <c r="C47" s="51" t="str">
        <f t="shared" si="15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707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738</v>
      </c>
      <c r="R47" s="35">
        <v>54510</v>
      </c>
      <c r="S47" s="32">
        <f>R47/xRates!$S$157</f>
        <v>1284.2143579558654</v>
      </c>
      <c r="T47" s="32">
        <f t="shared" si="16"/>
        <v>2871.4297013483701</v>
      </c>
      <c r="U47" s="30" t="str">
        <f t="shared" si="17"/>
        <v>Cost-Effective</v>
      </c>
      <c r="V47" s="30" t="str">
        <f t="shared" si="18"/>
        <v>Cost-Effective</v>
      </c>
      <c r="W47" s="41">
        <f t="shared" si="19"/>
        <v>0.44723865513852634</v>
      </c>
      <c r="X47" s="55">
        <f t="shared" si="20"/>
        <v>0.34</v>
      </c>
      <c r="Y47" s="30" t="str">
        <f t="shared" si="21"/>
        <v>Not Cost-Effective</v>
      </c>
      <c r="Z47" s="55">
        <f t="shared" si="22"/>
        <v>0.23</v>
      </c>
      <c r="AA47" s="30" t="str">
        <f t="shared" si="23"/>
        <v>Not Cost-Effective</v>
      </c>
      <c r="AB47" s="55">
        <f t="shared" si="24"/>
        <v>0.49487542715488553</v>
      </c>
      <c r="AC47" s="30" t="str">
        <f t="shared" si="25"/>
        <v>Cost-Effective</v>
      </c>
      <c r="AD47" s="55">
        <f t="shared" si="26"/>
        <v>8.9154193773153201E-2</v>
      </c>
      <c r="AE47" s="30" t="str">
        <f t="shared" si="27"/>
        <v>Not Cost-Effective</v>
      </c>
      <c r="AF47" s="30" t="s">
        <v>736</v>
      </c>
      <c r="AG47" s="30" t="s">
        <v>174</v>
      </c>
      <c r="AJ47" s="30" t="s">
        <v>148</v>
      </c>
    </row>
    <row r="48" spans="1:36" ht="12.75" customHeight="1">
      <c r="A48" s="40">
        <f t="shared" si="28"/>
        <v>14</v>
      </c>
      <c r="B48" s="40">
        <f t="shared" si="29"/>
        <v>4</v>
      </c>
      <c r="C48" s="51" t="str">
        <f t="shared" si="15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707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739</v>
      </c>
      <c r="R48" s="35">
        <v>84654</v>
      </c>
      <c r="S48" s="32">
        <f>R48/xRates!$S$157</f>
        <v>1994.3841911281568</v>
      </c>
      <c r="T48" s="32">
        <f t="shared" si="16"/>
        <v>2871.4297013483701</v>
      </c>
      <c r="U48" s="30" t="str">
        <f t="shared" si="17"/>
        <v>Cost-Effective</v>
      </c>
      <c r="V48" s="30" t="str">
        <f t="shared" si="18"/>
        <v>Cost-Effective</v>
      </c>
      <c r="W48" s="41">
        <f t="shared" si="19"/>
        <v>0.69456138528887923</v>
      </c>
      <c r="X48" s="55">
        <f t="shared" si="20"/>
        <v>0.34</v>
      </c>
      <c r="Y48" s="30" t="str">
        <f t="shared" si="21"/>
        <v>Not Cost-Effective</v>
      </c>
      <c r="Z48" s="55">
        <f t="shared" si="22"/>
        <v>0.23</v>
      </c>
      <c r="AA48" s="30" t="str">
        <f t="shared" si="23"/>
        <v>Not Cost-Effective</v>
      </c>
      <c r="AB48" s="55">
        <f t="shared" si="24"/>
        <v>0.49487542715488553</v>
      </c>
      <c r="AC48" s="30" t="str">
        <f t="shared" si="25"/>
        <v>Not Cost-Effective</v>
      </c>
      <c r="AD48" s="55">
        <f t="shared" si="26"/>
        <v>8.9154193773153201E-2</v>
      </c>
      <c r="AE48" s="30" t="str">
        <f t="shared" si="27"/>
        <v>Not Cost-Effective</v>
      </c>
      <c r="AF48" s="30" t="s">
        <v>736</v>
      </c>
      <c r="AG48" s="30" t="s">
        <v>174</v>
      </c>
      <c r="AJ48" s="30" t="s">
        <v>148</v>
      </c>
    </row>
    <row r="49" spans="1:36" ht="12.75" customHeight="1">
      <c r="A49" s="40">
        <f t="shared" si="28"/>
        <v>14</v>
      </c>
      <c r="B49" s="40">
        <f t="shared" si="29"/>
        <v>5</v>
      </c>
      <c r="C49" s="51" t="str">
        <f t="shared" si="15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729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740</v>
      </c>
      <c r="R49" s="35">
        <v>15795</v>
      </c>
      <c r="S49" s="32">
        <f>R49/xRates!$S$157</f>
        <v>372.11824956728844</v>
      </c>
      <c r="T49" s="32">
        <f t="shared" si="16"/>
        <v>2871.4297013483701</v>
      </c>
      <c r="U49" s="30" t="str">
        <f t="shared" si="17"/>
        <v>Cost-Effective</v>
      </c>
      <c r="V49" s="30" t="str">
        <f t="shared" si="18"/>
        <v>Cost-Effective</v>
      </c>
      <c r="W49" s="41">
        <f t="shared" si="19"/>
        <v>0.12959336925175241</v>
      </c>
      <c r="X49" s="55">
        <f t="shared" si="20"/>
        <v>0.34</v>
      </c>
      <c r="Y49" s="30" t="str">
        <f t="shared" si="21"/>
        <v>Cost-Effective</v>
      </c>
      <c r="Z49" s="55">
        <f t="shared" si="22"/>
        <v>0.23</v>
      </c>
      <c r="AA49" s="30" t="str">
        <f t="shared" si="23"/>
        <v>Cost-Effective</v>
      </c>
      <c r="AB49" s="55">
        <f t="shared" si="24"/>
        <v>0.49487542715488553</v>
      </c>
      <c r="AC49" s="30" t="str">
        <f t="shared" si="25"/>
        <v>Cost-Effective</v>
      </c>
      <c r="AD49" s="55">
        <f t="shared" si="26"/>
        <v>8.9154193773153201E-2</v>
      </c>
      <c r="AE49" s="30" t="str">
        <f t="shared" si="27"/>
        <v>Not Cost-Effective</v>
      </c>
      <c r="AF49" s="30" t="s">
        <v>736</v>
      </c>
      <c r="AG49" s="30" t="s">
        <v>174</v>
      </c>
      <c r="AJ49" s="30" t="s">
        <v>148</v>
      </c>
    </row>
    <row r="50" spans="1:36" ht="12.75" customHeight="1">
      <c r="A50" s="40">
        <f t="shared" si="28"/>
        <v>14</v>
      </c>
      <c r="B50" s="40">
        <f t="shared" si="29"/>
        <v>6</v>
      </c>
      <c r="C50" s="51" t="str">
        <f t="shared" si="15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729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741</v>
      </c>
      <c r="R50" s="35">
        <v>23836</v>
      </c>
      <c r="S50" s="32">
        <f>R50/xRates!$S$157</f>
        <v>561.55812577941674</v>
      </c>
      <c r="T50" s="32">
        <f t="shared" si="16"/>
        <v>2871.4297013483701</v>
      </c>
      <c r="U50" s="30" t="str">
        <f t="shared" si="17"/>
        <v>Cost-Effective</v>
      </c>
      <c r="V50" s="30" t="str">
        <f t="shared" si="18"/>
        <v>Cost-Effective</v>
      </c>
      <c r="W50" s="41">
        <f t="shared" si="19"/>
        <v>0.19556742953369866</v>
      </c>
      <c r="X50" s="55">
        <f t="shared" si="20"/>
        <v>0.34</v>
      </c>
      <c r="Y50" s="30" t="str">
        <f t="shared" si="21"/>
        <v>Cost-Effective</v>
      </c>
      <c r="Z50" s="55">
        <f t="shared" si="22"/>
        <v>0.23</v>
      </c>
      <c r="AA50" s="30" t="str">
        <f t="shared" si="23"/>
        <v>Cost-Effective</v>
      </c>
      <c r="AB50" s="55">
        <f t="shared" si="24"/>
        <v>0.49487542715488553</v>
      </c>
      <c r="AC50" s="30" t="str">
        <f t="shared" si="25"/>
        <v>Cost-Effective</v>
      </c>
      <c r="AD50" s="55">
        <f t="shared" si="26"/>
        <v>8.9154193773153201E-2</v>
      </c>
      <c r="AE50" s="30" t="str">
        <f t="shared" si="27"/>
        <v>Not Cost-Effective</v>
      </c>
      <c r="AF50" s="30" t="s">
        <v>736</v>
      </c>
      <c r="AG50" s="30" t="s">
        <v>174</v>
      </c>
      <c r="AJ50" s="30" t="s">
        <v>148</v>
      </c>
    </row>
    <row r="51" spans="1:36" ht="12.75" customHeight="1">
      <c r="A51" s="40">
        <f t="shared" si="28"/>
        <v>15</v>
      </c>
      <c r="B51" s="40">
        <f t="shared" si="29"/>
        <v>1</v>
      </c>
      <c r="C51" s="51" t="str">
        <f t="shared" si="15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705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742</v>
      </c>
      <c r="R51" s="35">
        <v>50913</v>
      </c>
      <c r="S51" s="32">
        <f>R51/xRates!$R$157</f>
        <v>1205.6465338299274</v>
      </c>
      <c r="T51" s="32">
        <f t="shared" si="16"/>
        <v>2694.3051089999999</v>
      </c>
      <c r="U51" s="30" t="str">
        <f t="shared" si="17"/>
        <v>Cost-Effective</v>
      </c>
      <c r="V51" s="30" t="str">
        <f t="shared" si="18"/>
        <v>Cost-Effective</v>
      </c>
      <c r="W51" s="41">
        <f t="shared" si="19"/>
        <v>0.44747958566481993</v>
      </c>
      <c r="X51" s="55">
        <f t="shared" si="20"/>
        <v>0.34</v>
      </c>
      <c r="Y51" s="30" t="str">
        <f t="shared" si="21"/>
        <v>Not Cost-Effective</v>
      </c>
      <c r="Z51" s="55">
        <f t="shared" si="22"/>
        <v>0.23</v>
      </c>
      <c r="AA51" s="30" t="str">
        <f t="shared" si="23"/>
        <v>Not Cost-Effective</v>
      </c>
      <c r="AB51" s="55">
        <f t="shared" si="24"/>
        <v>0.49487542715488553</v>
      </c>
      <c r="AC51" s="30" t="str">
        <f t="shared" si="25"/>
        <v>Cost-Effective</v>
      </c>
      <c r="AD51" s="55">
        <f t="shared" si="26"/>
        <v>8.9154193773153201E-2</v>
      </c>
      <c r="AE51" s="30" t="str">
        <f t="shared" si="27"/>
        <v>Not Cost-Effective</v>
      </c>
      <c r="AF51" s="30" t="s">
        <v>210</v>
      </c>
      <c r="AG51" s="30" t="s">
        <v>174</v>
      </c>
      <c r="AJ51" s="30" t="s">
        <v>148</v>
      </c>
    </row>
    <row r="52" spans="1:36" s="64" customFormat="1" ht="12.75" customHeight="1">
      <c r="A52" s="63">
        <f t="shared" si="28"/>
        <v>15</v>
      </c>
      <c r="B52" s="63">
        <f t="shared" si="29"/>
        <v>2</v>
      </c>
      <c r="C52" s="71" t="str">
        <f t="shared" si="15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719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743</v>
      </c>
      <c r="R52" s="66">
        <v>310274.65999999997</v>
      </c>
      <c r="S52" s="74">
        <f>R52/xRates!$R$157</f>
        <v>7347.4666266819713</v>
      </c>
      <c r="T52" s="74">
        <f t="shared" si="16"/>
        <v>2694.3051089999999</v>
      </c>
      <c r="U52" s="64" t="str">
        <f t="shared" si="17"/>
        <v>Not Cost-Effective</v>
      </c>
      <c r="V52" s="64" t="str">
        <f t="shared" si="18"/>
        <v>Cost-Effective</v>
      </c>
      <c r="W52" s="75">
        <f t="shared" si="19"/>
        <v>2.7270358513364537</v>
      </c>
      <c r="X52" s="76">
        <f t="shared" si="20"/>
        <v>0.34</v>
      </c>
      <c r="Y52" s="64" t="str">
        <f t="shared" si="21"/>
        <v>Not Cost-Effective</v>
      </c>
      <c r="Z52" s="76">
        <f t="shared" si="22"/>
        <v>0.23</v>
      </c>
      <c r="AA52" s="64" t="str">
        <f t="shared" si="23"/>
        <v>Not Cost-Effective</v>
      </c>
      <c r="AB52" s="76">
        <f t="shared" si="24"/>
        <v>0.49487542715488553</v>
      </c>
      <c r="AC52" s="64" t="str">
        <f t="shared" si="25"/>
        <v>Not Cost-Effective</v>
      </c>
      <c r="AD52" s="76">
        <f t="shared" si="26"/>
        <v>8.9154193773153201E-2</v>
      </c>
      <c r="AE52" s="64" t="str">
        <f t="shared" si="27"/>
        <v>Not Cost-Effective</v>
      </c>
      <c r="AF52" s="64" t="s">
        <v>210</v>
      </c>
      <c r="AG52" s="64" t="s">
        <v>174</v>
      </c>
      <c r="AH52" s="64" t="s">
        <v>721</v>
      </c>
      <c r="AJ52" s="30" t="s">
        <v>148</v>
      </c>
    </row>
    <row r="53" spans="1:36" ht="12.75" customHeight="1">
      <c r="A53" s="40">
        <f t="shared" si="28"/>
        <v>16</v>
      </c>
      <c r="B53" s="40">
        <f t="shared" si="29"/>
        <v>1</v>
      </c>
      <c r="C53" s="51" t="str">
        <f t="shared" si="15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707</v>
      </c>
      <c r="I53" s="40" t="s">
        <v>186</v>
      </c>
      <c r="J53" s="40" t="s">
        <v>151</v>
      </c>
      <c r="K53" s="49" t="s">
        <v>744</v>
      </c>
      <c r="L53" s="40">
        <v>3</v>
      </c>
      <c r="M53" s="40" t="s">
        <v>148</v>
      </c>
      <c r="N53" s="30" t="s">
        <v>153</v>
      </c>
      <c r="O53" s="30" t="s">
        <v>699</v>
      </c>
      <c r="P53" s="40">
        <v>2014</v>
      </c>
      <c r="Q53" s="30" t="s">
        <v>745</v>
      </c>
      <c r="R53" s="35">
        <v>-27</v>
      </c>
      <c r="S53" s="43">
        <v>-27</v>
      </c>
      <c r="T53" s="32">
        <f t="shared" si="16"/>
        <v>4158.521471</v>
      </c>
      <c r="U53" s="30" t="str">
        <f t="shared" si="17"/>
        <v>Cost-Effective</v>
      </c>
      <c r="V53" s="30" t="str">
        <f t="shared" si="18"/>
        <v>Cost-Effective</v>
      </c>
      <c r="W53" s="41">
        <f t="shared" si="19"/>
        <v>-6.4926922196477943E-3</v>
      </c>
      <c r="X53" s="55">
        <f t="shared" si="20"/>
        <v>0.49</v>
      </c>
      <c r="Y53" s="30" t="str">
        <f t="shared" si="21"/>
        <v>Cost-Effective</v>
      </c>
      <c r="Z53" s="55">
        <f t="shared" si="22"/>
        <v>0.35</v>
      </c>
      <c r="AA53" s="30" t="str">
        <f t="shared" si="23"/>
        <v>Cost-Effective</v>
      </c>
      <c r="AB53" s="55">
        <f t="shared" si="24"/>
        <v>0.47754403164042214</v>
      </c>
      <c r="AC53" s="30" t="str">
        <f t="shared" si="25"/>
        <v>Cost-Effective</v>
      </c>
      <c r="AD53" s="55">
        <f t="shared" si="26"/>
        <v>0.12436758234088692</v>
      </c>
      <c r="AE53" s="30" t="str">
        <f t="shared" si="27"/>
        <v>Cost-Effective</v>
      </c>
      <c r="AF53" s="30" t="s">
        <v>210</v>
      </c>
      <c r="AG53" s="30" t="s">
        <v>239</v>
      </c>
      <c r="AH53" s="30" t="s">
        <v>746</v>
      </c>
      <c r="AJ53" s="30" t="s">
        <v>148</v>
      </c>
    </row>
    <row r="54" spans="1:36" ht="12.75" customHeight="1">
      <c r="A54" s="40">
        <f t="shared" si="28"/>
        <v>16</v>
      </c>
      <c r="B54" s="40">
        <f t="shared" si="29"/>
        <v>2</v>
      </c>
      <c r="C54" s="51" t="str">
        <f t="shared" si="15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707</v>
      </c>
      <c r="I54" s="40" t="s">
        <v>186</v>
      </c>
      <c r="J54" s="40" t="s">
        <v>151</v>
      </c>
      <c r="K54" s="49" t="s">
        <v>744</v>
      </c>
      <c r="L54" s="40">
        <v>3</v>
      </c>
      <c r="M54" s="40" t="s">
        <v>148</v>
      </c>
      <c r="N54" s="30" t="s">
        <v>167</v>
      </c>
      <c r="O54" s="30" t="s">
        <v>699</v>
      </c>
      <c r="P54" s="40">
        <v>2014</v>
      </c>
      <c r="Q54" s="30" t="s">
        <v>747</v>
      </c>
      <c r="R54" s="35">
        <v>52</v>
      </c>
      <c r="S54" s="43">
        <v>52</v>
      </c>
      <c r="T54" s="32">
        <f t="shared" si="16"/>
        <v>4158.521471</v>
      </c>
      <c r="U54" s="30" t="str">
        <f t="shared" si="17"/>
        <v>Cost-Effective</v>
      </c>
      <c r="V54" s="30" t="str">
        <f t="shared" si="18"/>
        <v>Cost-Effective</v>
      </c>
      <c r="W54" s="41">
        <f t="shared" si="19"/>
        <v>1.2504444274877234E-2</v>
      </c>
      <c r="X54" s="55">
        <f t="shared" si="20"/>
        <v>0.49</v>
      </c>
      <c r="Y54" s="30" t="str">
        <f t="shared" si="21"/>
        <v>Cost-Effective</v>
      </c>
      <c r="Z54" s="55">
        <f t="shared" si="22"/>
        <v>0.35</v>
      </c>
      <c r="AA54" s="30" t="str">
        <f t="shared" si="23"/>
        <v>Cost-Effective</v>
      </c>
      <c r="AB54" s="55">
        <f t="shared" si="24"/>
        <v>0.47754403164042214</v>
      </c>
      <c r="AC54" s="30" t="str">
        <f t="shared" si="25"/>
        <v>Cost-Effective</v>
      </c>
      <c r="AD54" s="55">
        <f t="shared" si="26"/>
        <v>0.12436758234088692</v>
      </c>
      <c r="AE54" s="30" t="str">
        <f t="shared" si="27"/>
        <v>Cost-Effective</v>
      </c>
      <c r="AF54" s="30" t="s">
        <v>210</v>
      </c>
      <c r="AG54" s="30" t="s">
        <v>174</v>
      </c>
      <c r="AH54" s="30" t="s">
        <v>746</v>
      </c>
      <c r="AJ54" s="30" t="s">
        <v>148</v>
      </c>
    </row>
    <row r="55" spans="1:36" ht="12.75" customHeight="1">
      <c r="A55" s="40">
        <f t="shared" si="28"/>
        <v>16</v>
      </c>
      <c r="B55" s="40">
        <f t="shared" si="29"/>
        <v>3</v>
      </c>
      <c r="C55" s="51" t="str">
        <f t="shared" si="15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707</v>
      </c>
      <c r="I55" s="40" t="s">
        <v>186</v>
      </c>
      <c r="J55" s="40" t="s">
        <v>151</v>
      </c>
      <c r="K55" s="49" t="s">
        <v>744</v>
      </c>
      <c r="L55" s="40">
        <v>3</v>
      </c>
      <c r="M55" s="40" t="s">
        <v>157</v>
      </c>
      <c r="N55" s="30" t="s">
        <v>153</v>
      </c>
      <c r="O55" s="30" t="s">
        <v>699</v>
      </c>
      <c r="P55" s="40">
        <v>2014</v>
      </c>
      <c r="Q55" s="30" t="s">
        <v>748</v>
      </c>
      <c r="R55" s="35">
        <v>19</v>
      </c>
      <c r="S55" s="43">
        <v>19</v>
      </c>
      <c r="T55" s="32">
        <f t="shared" si="16"/>
        <v>4158.521471</v>
      </c>
      <c r="U55" s="30" t="str">
        <f t="shared" si="17"/>
        <v>Cost-Effective</v>
      </c>
      <c r="V55" s="30" t="str">
        <f t="shared" si="18"/>
        <v>Cost-Effective</v>
      </c>
      <c r="W55" s="41">
        <f t="shared" si="19"/>
        <v>4.5689315619743733E-3</v>
      </c>
      <c r="X55" s="55">
        <f t="shared" si="20"/>
        <v>0.49</v>
      </c>
      <c r="Y55" s="30" t="str">
        <f t="shared" si="21"/>
        <v>Cost-Effective</v>
      </c>
      <c r="Z55" s="55">
        <f t="shared" si="22"/>
        <v>0.35</v>
      </c>
      <c r="AA55" s="30" t="str">
        <f t="shared" si="23"/>
        <v>Cost-Effective</v>
      </c>
      <c r="AB55" s="55">
        <f t="shared" si="24"/>
        <v>0.47754403164042214</v>
      </c>
      <c r="AC55" s="30" t="str">
        <f t="shared" si="25"/>
        <v>Cost-Effective</v>
      </c>
      <c r="AD55" s="55">
        <f t="shared" si="26"/>
        <v>0.12436758234088692</v>
      </c>
      <c r="AE55" s="30" t="str">
        <f t="shared" si="27"/>
        <v>Cost-Effective</v>
      </c>
      <c r="AF55" s="30" t="s">
        <v>210</v>
      </c>
      <c r="AG55" s="30" t="s">
        <v>174</v>
      </c>
      <c r="AH55" s="30" t="s">
        <v>746</v>
      </c>
      <c r="AJ55" s="30" t="s">
        <v>148</v>
      </c>
    </row>
    <row r="56" spans="1:36" ht="12.75" customHeight="1">
      <c r="A56" s="40">
        <f t="shared" si="28"/>
        <v>16</v>
      </c>
      <c r="B56" s="40">
        <f t="shared" si="29"/>
        <v>4</v>
      </c>
      <c r="C56" s="51" t="str">
        <f t="shared" si="15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707</v>
      </c>
      <c r="I56" s="40" t="s">
        <v>186</v>
      </c>
      <c r="J56" s="40" t="s">
        <v>151</v>
      </c>
      <c r="K56" s="49" t="s">
        <v>744</v>
      </c>
      <c r="L56" s="40">
        <v>3</v>
      </c>
      <c r="M56" s="40" t="s">
        <v>157</v>
      </c>
      <c r="N56" s="30" t="s">
        <v>167</v>
      </c>
      <c r="O56" s="30" t="s">
        <v>699</v>
      </c>
      <c r="P56" s="40">
        <v>2014</v>
      </c>
      <c r="Q56" s="30" t="s">
        <v>749</v>
      </c>
      <c r="R56" s="35">
        <v>79</v>
      </c>
      <c r="S56" s="43">
        <v>79</v>
      </c>
      <c r="T56" s="32">
        <f t="shared" si="16"/>
        <v>4158.521471</v>
      </c>
      <c r="U56" s="30" t="str">
        <f t="shared" si="17"/>
        <v>Cost-Effective</v>
      </c>
      <c r="V56" s="30" t="str">
        <f t="shared" si="18"/>
        <v>Cost-Effective</v>
      </c>
      <c r="W56" s="41">
        <f t="shared" si="19"/>
        <v>1.8997136494525026E-2</v>
      </c>
      <c r="X56" s="55">
        <f t="shared" si="20"/>
        <v>0.49</v>
      </c>
      <c r="Y56" s="30" t="str">
        <f t="shared" si="21"/>
        <v>Cost-Effective</v>
      </c>
      <c r="Z56" s="55">
        <f t="shared" si="22"/>
        <v>0.35</v>
      </c>
      <c r="AA56" s="30" t="str">
        <f t="shared" si="23"/>
        <v>Cost-Effective</v>
      </c>
      <c r="AB56" s="55">
        <f t="shared" si="24"/>
        <v>0.47754403164042214</v>
      </c>
      <c r="AC56" s="30" t="str">
        <f t="shared" si="25"/>
        <v>Cost-Effective</v>
      </c>
      <c r="AD56" s="55">
        <f t="shared" si="26"/>
        <v>0.12436758234088692</v>
      </c>
      <c r="AE56" s="30" t="str">
        <f t="shared" si="27"/>
        <v>Cost-Effective</v>
      </c>
      <c r="AF56" s="30" t="s">
        <v>210</v>
      </c>
      <c r="AG56" s="30" t="s">
        <v>174</v>
      </c>
      <c r="AH56" s="30" t="s">
        <v>746</v>
      </c>
      <c r="AJ56" s="30" t="s">
        <v>148</v>
      </c>
    </row>
    <row r="57" spans="1:36" ht="12.75" customHeight="1">
      <c r="A57" s="40">
        <f t="shared" si="28"/>
        <v>17</v>
      </c>
      <c r="B57" s="40">
        <f t="shared" si="29"/>
        <v>1</v>
      </c>
      <c r="C57" s="51" t="str">
        <f t="shared" si="15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705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699</v>
      </c>
      <c r="P57" s="40">
        <v>2017</v>
      </c>
      <c r="Q57" s="30" t="s">
        <v>750</v>
      </c>
      <c r="R57" s="35">
        <v>36</v>
      </c>
      <c r="S57" s="43">
        <v>36</v>
      </c>
      <c r="T57" s="32">
        <f t="shared" si="16"/>
        <v>3286.5967439999999</v>
      </c>
      <c r="U57" s="30" t="str">
        <f t="shared" si="17"/>
        <v>Cost-Effective</v>
      </c>
      <c r="V57" s="30" t="str">
        <f t="shared" si="18"/>
        <v>Cost-Effective</v>
      </c>
      <c r="W57" s="41">
        <f t="shared" si="19"/>
        <v>1.0953579889507735E-2</v>
      </c>
      <c r="X57" s="55">
        <f t="shared" si="20"/>
        <v>0</v>
      </c>
      <c r="Y57" s="30" t="str">
        <f t="shared" si="21"/>
        <v>No Threshold</v>
      </c>
      <c r="Z57" s="55">
        <f t="shared" si="22"/>
        <v>0</v>
      </c>
      <c r="AA57" s="30" t="str">
        <f t="shared" si="23"/>
        <v>No Threshold</v>
      </c>
      <c r="AB57" s="55">
        <f t="shared" si="24"/>
        <v>0.50875051837814589</v>
      </c>
      <c r="AC57" s="30" t="str">
        <f t="shared" si="25"/>
        <v>Cost-Effective</v>
      </c>
      <c r="AD57" s="55">
        <f t="shared" si="26"/>
        <v>0.10797805119790538</v>
      </c>
      <c r="AE57" s="30" t="str">
        <f t="shared" si="27"/>
        <v>Cost-Effective</v>
      </c>
      <c r="AF57" s="30" t="s">
        <v>210</v>
      </c>
      <c r="AG57" s="30" t="s">
        <v>174</v>
      </c>
      <c r="AJ57" s="30" t="s">
        <v>148</v>
      </c>
    </row>
    <row r="58" spans="1:36" ht="12.75" customHeight="1">
      <c r="A58" s="40">
        <f t="shared" si="28"/>
        <v>17</v>
      </c>
      <c r="B58" s="40">
        <f t="shared" si="29"/>
        <v>2</v>
      </c>
      <c r="C58" s="51" t="str">
        <f t="shared" si="15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707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699</v>
      </c>
      <c r="P58" s="40">
        <v>2017</v>
      </c>
      <c r="Q58" s="30" t="s">
        <v>751</v>
      </c>
      <c r="R58" s="35">
        <v>40</v>
      </c>
      <c r="S58" s="43">
        <v>40</v>
      </c>
      <c r="T58" s="32">
        <f t="shared" si="16"/>
        <v>3286.5967439999999</v>
      </c>
      <c r="U58" s="30" t="str">
        <f t="shared" si="17"/>
        <v>Cost-Effective</v>
      </c>
      <c r="V58" s="30" t="str">
        <f t="shared" si="18"/>
        <v>Cost-Effective</v>
      </c>
      <c r="W58" s="41">
        <f t="shared" si="19"/>
        <v>1.2170644321675261E-2</v>
      </c>
      <c r="X58" s="55">
        <f t="shared" si="20"/>
        <v>0</v>
      </c>
      <c r="Y58" s="30" t="str">
        <f t="shared" si="21"/>
        <v>No Threshold</v>
      </c>
      <c r="Z58" s="55">
        <f t="shared" si="22"/>
        <v>0</v>
      </c>
      <c r="AA58" s="30" t="str">
        <f t="shared" si="23"/>
        <v>No Threshold</v>
      </c>
      <c r="AB58" s="55">
        <f t="shared" si="24"/>
        <v>0.50875051837814589</v>
      </c>
      <c r="AC58" s="30" t="str">
        <f t="shared" si="25"/>
        <v>Cost-Effective</v>
      </c>
      <c r="AD58" s="55">
        <f t="shared" si="26"/>
        <v>0.10797805119790538</v>
      </c>
      <c r="AE58" s="30" t="str">
        <f t="shared" si="27"/>
        <v>Cost-Effective</v>
      </c>
      <c r="AF58" s="30" t="s">
        <v>210</v>
      </c>
      <c r="AG58" s="30" t="s">
        <v>174</v>
      </c>
      <c r="AJ58" s="30" t="s">
        <v>148</v>
      </c>
    </row>
    <row r="59" spans="1:36" ht="12.75" customHeight="1">
      <c r="A59" s="40">
        <f t="shared" si="28"/>
        <v>17</v>
      </c>
      <c r="B59" s="40">
        <f t="shared" si="29"/>
        <v>3</v>
      </c>
      <c r="C59" s="51" t="str">
        <f t="shared" si="15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729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699</v>
      </c>
      <c r="P59" s="40">
        <v>2017</v>
      </c>
      <c r="Q59" s="30" t="s">
        <v>752</v>
      </c>
      <c r="R59" s="35">
        <v>92</v>
      </c>
      <c r="S59" s="43">
        <v>92</v>
      </c>
      <c r="T59" s="32">
        <f t="shared" si="16"/>
        <v>3286.5967439999999</v>
      </c>
      <c r="U59" s="30" t="str">
        <f t="shared" si="17"/>
        <v>Cost-Effective</v>
      </c>
      <c r="V59" s="30" t="str">
        <f t="shared" si="18"/>
        <v>Cost-Effective</v>
      </c>
      <c r="W59" s="41">
        <f t="shared" si="19"/>
        <v>2.7992481939853101E-2</v>
      </c>
      <c r="X59" s="55">
        <f t="shared" si="20"/>
        <v>0</v>
      </c>
      <c r="Y59" s="30" t="str">
        <f t="shared" si="21"/>
        <v>No Threshold</v>
      </c>
      <c r="Z59" s="55">
        <f t="shared" si="22"/>
        <v>0</v>
      </c>
      <c r="AA59" s="30" t="str">
        <f t="shared" si="23"/>
        <v>No Threshold</v>
      </c>
      <c r="AB59" s="55">
        <f t="shared" si="24"/>
        <v>0.50875051837814589</v>
      </c>
      <c r="AC59" s="30" t="str">
        <f t="shared" si="25"/>
        <v>Cost-Effective</v>
      </c>
      <c r="AD59" s="55">
        <f t="shared" si="26"/>
        <v>0.10797805119790538</v>
      </c>
      <c r="AE59" s="30" t="str">
        <f t="shared" si="27"/>
        <v>Cost-Effective</v>
      </c>
      <c r="AF59" s="30" t="s">
        <v>210</v>
      </c>
      <c r="AG59" s="30" t="s">
        <v>174</v>
      </c>
      <c r="AJ59" s="30" t="s">
        <v>148</v>
      </c>
    </row>
    <row r="60" spans="1:36" ht="12.75" customHeight="1">
      <c r="A60" s="40">
        <f t="shared" ref="A60:A76" si="30">IF(F60=F59,A59,A59+1)</f>
        <v>18</v>
      </c>
      <c r="B60" s="40">
        <f t="shared" ref="B60:B76" si="31">IF(F60=F59,B59+1,1)</f>
        <v>1</v>
      </c>
      <c r="C60" s="51" t="str">
        <f t="shared" si="15"/>
        <v>1801</v>
      </c>
      <c r="D60" s="30" t="s">
        <v>78</v>
      </c>
      <c r="E60" s="40">
        <v>2021</v>
      </c>
      <c r="F60" s="30" t="s">
        <v>973</v>
      </c>
      <c r="G60" s="9" t="s">
        <v>285</v>
      </c>
      <c r="H60" s="44" t="s">
        <v>237</v>
      </c>
      <c r="I60" s="40" t="s">
        <v>186</v>
      </c>
      <c r="J60" s="40" t="s">
        <v>183</v>
      </c>
      <c r="K60" s="49" t="s">
        <v>308</v>
      </c>
      <c r="L60" s="40">
        <v>3</v>
      </c>
      <c r="M60" s="40" t="s">
        <v>157</v>
      </c>
      <c r="N60" s="30" t="s">
        <v>887</v>
      </c>
      <c r="O60" s="30" t="s">
        <v>900</v>
      </c>
      <c r="P60" s="40">
        <v>2019</v>
      </c>
      <c r="Q60" s="69" t="s">
        <v>596</v>
      </c>
      <c r="R60" s="119">
        <f>-12274777282/153349</f>
        <v>-80044.716835453772</v>
      </c>
      <c r="S60" s="120">
        <f>R60/xRates!Y157</f>
        <v>-1545.3906232803135</v>
      </c>
      <c r="T60" s="32">
        <f t="shared" si="16"/>
        <v>3485.3408439999998</v>
      </c>
      <c r="U60" s="30" t="str">
        <f t="shared" si="17"/>
        <v>Cost-Effective</v>
      </c>
      <c r="V60" s="30" t="str">
        <f t="shared" si="18"/>
        <v>Cost-Effective</v>
      </c>
      <c r="W60" s="41">
        <f t="shared" si="19"/>
        <v>-0.44339727230428477</v>
      </c>
      <c r="X60" s="55">
        <f t="shared" si="20"/>
        <v>0.34</v>
      </c>
      <c r="Y60" s="30" t="str">
        <f t="shared" si="21"/>
        <v>Cost-Effective</v>
      </c>
      <c r="Z60" s="55">
        <f t="shared" si="22"/>
        <v>0.23</v>
      </c>
      <c r="AA60" s="30" t="str">
        <f t="shared" si="23"/>
        <v>Cost-Effective</v>
      </c>
      <c r="AB60" s="55">
        <f t="shared" si="24"/>
        <v>0.49487542715488553</v>
      </c>
      <c r="AC60" s="30" t="str">
        <f t="shared" si="25"/>
        <v>Cost-Effective</v>
      </c>
      <c r="AD60" s="55">
        <f t="shared" si="26"/>
        <v>8.9154193773153201E-2</v>
      </c>
      <c r="AE60" s="30" t="str">
        <f t="shared" si="27"/>
        <v>Cost-Effective</v>
      </c>
      <c r="AF60" s="30" t="s">
        <v>597</v>
      </c>
      <c r="AG60" s="30" t="s">
        <v>239</v>
      </c>
      <c r="AJ60" s="30" t="s">
        <v>148</v>
      </c>
    </row>
    <row r="61" spans="1:36" ht="12.75" customHeight="1">
      <c r="A61" s="40">
        <f t="shared" si="30"/>
        <v>19</v>
      </c>
      <c r="B61" s="40">
        <f t="shared" si="31"/>
        <v>1</v>
      </c>
      <c r="C61" s="51" t="str">
        <f t="shared" si="15"/>
        <v>1901</v>
      </c>
      <c r="D61" s="30" t="s">
        <v>81</v>
      </c>
      <c r="E61" s="40">
        <v>2021</v>
      </c>
      <c r="F61" s="30" t="s">
        <v>974</v>
      </c>
      <c r="G61" s="9" t="s">
        <v>602</v>
      </c>
      <c r="H61" s="44" t="s">
        <v>902</v>
      </c>
      <c r="I61" s="40" t="s">
        <v>186</v>
      </c>
      <c r="J61" s="40" t="s">
        <v>151</v>
      </c>
      <c r="K61" s="49" t="s">
        <v>152</v>
      </c>
      <c r="L61" s="40">
        <v>3</v>
      </c>
      <c r="M61" s="40" t="s">
        <v>157</v>
      </c>
      <c r="N61" s="30" t="s">
        <v>604</v>
      </c>
      <c r="O61" s="30" t="s">
        <v>699</v>
      </c>
      <c r="P61" s="40">
        <v>2019</v>
      </c>
      <c r="Q61" s="30" t="s">
        <v>903</v>
      </c>
      <c r="R61" s="31">
        <v>162</v>
      </c>
      <c r="S61" s="43">
        <f t="shared" ref="S61:S76" si="32">R61</f>
        <v>162</v>
      </c>
      <c r="T61" s="32">
        <f t="shared" si="16"/>
        <v>4135.2015309999997</v>
      </c>
      <c r="U61" s="30" t="str">
        <f t="shared" si="17"/>
        <v>Cost-Effective</v>
      </c>
      <c r="V61" s="30" t="str">
        <f t="shared" si="18"/>
        <v>Cost-Effective</v>
      </c>
      <c r="W61" s="41">
        <f t="shared" si="19"/>
        <v>3.9175841560695153E-2</v>
      </c>
      <c r="X61" s="55">
        <f t="shared" si="20"/>
        <v>0.23</v>
      </c>
      <c r="Y61" s="30" t="str">
        <f t="shared" si="21"/>
        <v>Cost-Effective</v>
      </c>
      <c r="Z61" s="55">
        <f t="shared" si="22"/>
        <v>0.16</v>
      </c>
      <c r="AA61" s="30" t="str">
        <f t="shared" si="23"/>
        <v>Cost-Effective</v>
      </c>
      <c r="AB61" s="55">
        <f t="shared" si="24"/>
        <v>0.49283550177804297</v>
      </c>
      <c r="AC61" s="30" t="str">
        <f t="shared" si="25"/>
        <v>Cost-Effective</v>
      </c>
      <c r="AD61" s="55">
        <f t="shared" si="26"/>
        <v>0.13024544055948281</v>
      </c>
      <c r="AE61" s="30" t="str">
        <f t="shared" si="27"/>
        <v>Cost-Effective</v>
      </c>
      <c r="AF61" s="30" t="s">
        <v>210</v>
      </c>
      <c r="AG61" s="30" t="s">
        <v>174</v>
      </c>
      <c r="AH61" s="30" t="s">
        <v>975</v>
      </c>
      <c r="AJ61" s="30" t="s">
        <v>148</v>
      </c>
    </row>
    <row r="62" spans="1:36" ht="12.75" customHeight="1">
      <c r="A62" s="40">
        <f t="shared" si="30"/>
        <v>19</v>
      </c>
      <c r="B62" s="40">
        <f t="shared" si="31"/>
        <v>2</v>
      </c>
      <c r="C62" s="51" t="str">
        <f t="shared" si="15"/>
        <v>1902</v>
      </c>
      <c r="D62" s="30" t="s">
        <v>81</v>
      </c>
      <c r="E62" s="40">
        <v>2021</v>
      </c>
      <c r="F62" s="30" t="s">
        <v>974</v>
      </c>
      <c r="G62" s="9" t="s">
        <v>602</v>
      </c>
      <c r="H62" s="44" t="s">
        <v>902</v>
      </c>
      <c r="I62" s="40" t="s">
        <v>186</v>
      </c>
      <c r="J62" s="40" t="s">
        <v>151</v>
      </c>
      <c r="K62" s="49" t="s">
        <v>152</v>
      </c>
      <c r="L62" s="40">
        <v>3</v>
      </c>
      <c r="M62" s="40" t="s">
        <v>157</v>
      </c>
      <c r="N62" s="30" t="s">
        <v>887</v>
      </c>
      <c r="O62" s="30" t="s">
        <v>699</v>
      </c>
      <c r="P62" s="40">
        <v>2019</v>
      </c>
      <c r="Q62" s="30" t="s">
        <v>905</v>
      </c>
      <c r="R62" s="31">
        <v>254</v>
      </c>
      <c r="S62" s="43">
        <f t="shared" si="32"/>
        <v>254</v>
      </c>
      <c r="T62" s="32">
        <f t="shared" si="16"/>
        <v>4135.2015309999997</v>
      </c>
      <c r="U62" s="30" t="str">
        <f t="shared" si="17"/>
        <v>Cost-Effective</v>
      </c>
      <c r="V62" s="30" t="str">
        <f t="shared" si="18"/>
        <v>Cost-Effective</v>
      </c>
      <c r="W62" s="41">
        <f t="shared" si="19"/>
        <v>6.1423850348250417E-2</v>
      </c>
      <c r="X62" s="55">
        <f t="shared" si="20"/>
        <v>0.23</v>
      </c>
      <c r="Y62" s="30" t="str">
        <f t="shared" si="21"/>
        <v>Cost-Effective</v>
      </c>
      <c r="Z62" s="55">
        <f t="shared" si="22"/>
        <v>0.16</v>
      </c>
      <c r="AA62" s="30" t="str">
        <f t="shared" si="23"/>
        <v>Cost-Effective</v>
      </c>
      <c r="AB62" s="55">
        <f t="shared" si="24"/>
        <v>0.49283550177804297</v>
      </c>
      <c r="AC62" s="30" t="str">
        <f t="shared" si="25"/>
        <v>Cost-Effective</v>
      </c>
      <c r="AD62" s="55">
        <f t="shared" si="26"/>
        <v>0.13024544055948281</v>
      </c>
      <c r="AE62" s="30" t="str">
        <f t="shared" si="27"/>
        <v>Cost-Effective</v>
      </c>
      <c r="AF62" s="30" t="s">
        <v>210</v>
      </c>
      <c r="AG62" s="30" t="s">
        <v>174</v>
      </c>
      <c r="AH62" s="30" t="s">
        <v>975</v>
      </c>
      <c r="AJ62" s="30" t="s">
        <v>148</v>
      </c>
    </row>
    <row r="63" spans="1:36" ht="12.75" customHeight="1">
      <c r="A63" s="40">
        <f t="shared" si="30"/>
        <v>19</v>
      </c>
      <c r="B63" s="40">
        <f t="shared" si="31"/>
        <v>3</v>
      </c>
      <c r="C63" s="51" t="str">
        <f t="shared" si="15"/>
        <v>1903</v>
      </c>
      <c r="D63" s="30" t="s">
        <v>81</v>
      </c>
      <c r="E63" s="40">
        <v>2021</v>
      </c>
      <c r="F63" s="30" t="s">
        <v>974</v>
      </c>
      <c r="G63" s="9" t="s">
        <v>602</v>
      </c>
      <c r="H63" s="44" t="s">
        <v>902</v>
      </c>
      <c r="I63" s="40" t="s">
        <v>186</v>
      </c>
      <c r="J63" s="40" t="s">
        <v>151</v>
      </c>
      <c r="K63" s="49" t="s">
        <v>152</v>
      </c>
      <c r="L63" s="40">
        <v>3</v>
      </c>
      <c r="M63" s="40" t="s">
        <v>157</v>
      </c>
      <c r="N63" s="30" t="s">
        <v>609</v>
      </c>
      <c r="O63" s="30" t="s">
        <v>699</v>
      </c>
      <c r="P63" s="40">
        <v>2019</v>
      </c>
      <c r="Q63" s="30" t="s">
        <v>906</v>
      </c>
      <c r="R63" s="31">
        <v>322</v>
      </c>
      <c r="S63" s="43">
        <f t="shared" si="32"/>
        <v>322</v>
      </c>
      <c r="T63" s="32">
        <f t="shared" si="16"/>
        <v>4135.2015309999997</v>
      </c>
      <c r="U63" s="30" t="str">
        <f t="shared" si="17"/>
        <v>Cost-Effective</v>
      </c>
      <c r="V63" s="30" t="str">
        <f t="shared" si="18"/>
        <v>Cost-Effective</v>
      </c>
      <c r="W63" s="41">
        <f t="shared" si="19"/>
        <v>7.786803075644344E-2</v>
      </c>
      <c r="X63" s="55">
        <f t="shared" si="20"/>
        <v>0.23</v>
      </c>
      <c r="Y63" s="30" t="str">
        <f t="shared" si="21"/>
        <v>Cost-Effective</v>
      </c>
      <c r="Z63" s="55">
        <f t="shared" si="22"/>
        <v>0.16</v>
      </c>
      <c r="AA63" s="30" t="str">
        <f t="shared" si="23"/>
        <v>Cost-Effective</v>
      </c>
      <c r="AB63" s="55">
        <f t="shared" si="24"/>
        <v>0.49283550177804297</v>
      </c>
      <c r="AC63" s="30" t="str">
        <f t="shared" si="25"/>
        <v>Cost-Effective</v>
      </c>
      <c r="AD63" s="55">
        <f t="shared" si="26"/>
        <v>0.13024544055948281</v>
      </c>
      <c r="AE63" s="30" t="str">
        <f t="shared" si="27"/>
        <v>Cost-Effective</v>
      </c>
      <c r="AF63" s="30" t="s">
        <v>210</v>
      </c>
      <c r="AG63" s="30" t="s">
        <v>174</v>
      </c>
      <c r="AH63" s="30" t="s">
        <v>975</v>
      </c>
      <c r="AJ63" s="30" t="s">
        <v>148</v>
      </c>
    </row>
    <row r="64" spans="1:36" ht="12.75" customHeight="1">
      <c r="A64" s="40">
        <f t="shared" si="30"/>
        <v>19</v>
      </c>
      <c r="B64" s="40">
        <f t="shared" si="31"/>
        <v>4</v>
      </c>
      <c r="C64" s="51" t="str">
        <f t="shared" si="15"/>
        <v>1904</v>
      </c>
      <c r="D64" s="30" t="s">
        <v>81</v>
      </c>
      <c r="E64" s="40">
        <v>2021</v>
      </c>
      <c r="F64" s="30" t="s">
        <v>974</v>
      </c>
      <c r="G64" s="9" t="s">
        <v>602</v>
      </c>
      <c r="H64" s="44" t="s">
        <v>907</v>
      </c>
      <c r="I64" s="40" t="s">
        <v>186</v>
      </c>
      <c r="J64" s="40" t="s">
        <v>151</v>
      </c>
      <c r="K64" s="49" t="s">
        <v>152</v>
      </c>
      <c r="L64" s="40">
        <v>3</v>
      </c>
      <c r="M64" s="40" t="s">
        <v>157</v>
      </c>
      <c r="N64" s="30" t="s">
        <v>604</v>
      </c>
      <c r="O64" s="30" t="s">
        <v>699</v>
      </c>
      <c r="P64" s="40">
        <v>2019</v>
      </c>
      <c r="Q64" s="30" t="s">
        <v>908</v>
      </c>
      <c r="R64" s="31">
        <v>447</v>
      </c>
      <c r="S64" s="43">
        <f t="shared" si="32"/>
        <v>447</v>
      </c>
      <c r="T64" s="32">
        <f t="shared" si="16"/>
        <v>4135.2015309999997</v>
      </c>
      <c r="U64" s="30" t="str">
        <f t="shared" si="17"/>
        <v>Cost-Effective</v>
      </c>
      <c r="V64" s="30" t="str">
        <f t="shared" si="18"/>
        <v>Cost-Effective</v>
      </c>
      <c r="W64" s="41">
        <f t="shared" si="19"/>
        <v>0.1080963035656218</v>
      </c>
      <c r="X64" s="55">
        <f t="shared" si="20"/>
        <v>0.23</v>
      </c>
      <c r="Y64" s="30" t="str">
        <f t="shared" si="21"/>
        <v>Cost-Effective</v>
      </c>
      <c r="Z64" s="55">
        <f t="shared" si="22"/>
        <v>0.16</v>
      </c>
      <c r="AA64" s="30" t="str">
        <f t="shared" si="23"/>
        <v>Cost-Effective</v>
      </c>
      <c r="AB64" s="55">
        <f t="shared" si="24"/>
        <v>0.49283550177804297</v>
      </c>
      <c r="AC64" s="30" t="str">
        <f t="shared" si="25"/>
        <v>Cost-Effective</v>
      </c>
      <c r="AD64" s="55">
        <f t="shared" si="26"/>
        <v>0.13024544055948281</v>
      </c>
      <c r="AE64" s="30" t="str">
        <f t="shared" si="27"/>
        <v>Cost-Effective</v>
      </c>
      <c r="AF64" s="30" t="s">
        <v>210</v>
      </c>
      <c r="AG64" s="30" t="s">
        <v>174</v>
      </c>
      <c r="AH64" s="30" t="s">
        <v>975</v>
      </c>
      <c r="AJ64" s="30" t="s">
        <v>148</v>
      </c>
    </row>
    <row r="65" spans="1:36" ht="12.75" customHeight="1">
      <c r="A65" s="40">
        <f t="shared" si="30"/>
        <v>19</v>
      </c>
      <c r="B65" s="40">
        <f t="shared" si="31"/>
        <v>5</v>
      </c>
      <c r="C65" s="51" t="str">
        <f t="shared" si="15"/>
        <v>1905</v>
      </c>
      <c r="D65" s="30" t="s">
        <v>81</v>
      </c>
      <c r="E65" s="40">
        <v>2021</v>
      </c>
      <c r="F65" s="30" t="s">
        <v>974</v>
      </c>
      <c r="G65" s="9" t="s">
        <v>602</v>
      </c>
      <c r="H65" s="44" t="s">
        <v>907</v>
      </c>
      <c r="I65" s="40" t="s">
        <v>186</v>
      </c>
      <c r="J65" s="40" t="s">
        <v>151</v>
      </c>
      <c r="K65" s="49" t="s">
        <v>152</v>
      </c>
      <c r="L65" s="40">
        <v>3</v>
      </c>
      <c r="M65" s="40" t="s">
        <v>157</v>
      </c>
      <c r="N65" s="30" t="s">
        <v>887</v>
      </c>
      <c r="O65" s="30" t="s">
        <v>699</v>
      </c>
      <c r="P65" s="40">
        <v>2019</v>
      </c>
      <c r="Q65" s="30" t="s">
        <v>909</v>
      </c>
      <c r="R65" s="31">
        <v>539</v>
      </c>
      <c r="S65" s="43">
        <f t="shared" si="32"/>
        <v>539</v>
      </c>
      <c r="T65" s="32">
        <f t="shared" si="16"/>
        <v>4135.2015309999997</v>
      </c>
      <c r="U65" s="30" t="str">
        <f t="shared" si="17"/>
        <v>Cost-Effective</v>
      </c>
      <c r="V65" s="30" t="str">
        <f t="shared" si="18"/>
        <v>Cost-Effective</v>
      </c>
      <c r="W65" s="41">
        <f t="shared" si="19"/>
        <v>0.13034431235317706</v>
      </c>
      <c r="X65" s="55">
        <f t="shared" si="20"/>
        <v>0.23</v>
      </c>
      <c r="Y65" s="30" t="str">
        <f t="shared" si="21"/>
        <v>Cost-Effective</v>
      </c>
      <c r="Z65" s="55">
        <f t="shared" si="22"/>
        <v>0.16</v>
      </c>
      <c r="AA65" s="30" t="str">
        <f t="shared" si="23"/>
        <v>Cost-Effective</v>
      </c>
      <c r="AB65" s="55">
        <f t="shared" si="24"/>
        <v>0.49283550177804297</v>
      </c>
      <c r="AC65" s="30" t="str">
        <f t="shared" si="25"/>
        <v>Cost-Effective</v>
      </c>
      <c r="AD65" s="55">
        <f t="shared" si="26"/>
        <v>0.13024544055948281</v>
      </c>
      <c r="AE65" s="30" t="str">
        <f t="shared" si="27"/>
        <v>Not Cost-Effective</v>
      </c>
      <c r="AF65" s="30" t="s">
        <v>210</v>
      </c>
      <c r="AG65" s="30" t="s">
        <v>174</v>
      </c>
      <c r="AH65" s="30" t="s">
        <v>975</v>
      </c>
      <c r="AJ65" s="30" t="s">
        <v>148</v>
      </c>
    </row>
    <row r="66" spans="1:36" ht="12.75" customHeight="1">
      <c r="A66" s="40">
        <f t="shared" si="30"/>
        <v>19</v>
      </c>
      <c r="B66" s="40">
        <f t="shared" si="31"/>
        <v>6</v>
      </c>
      <c r="C66" s="51" t="str">
        <f t="shared" ref="C66:C76" si="33">_xlfn.CONCAT(TEXT(A66,"00"),TEXT(B66,"00"))</f>
        <v>1906</v>
      </c>
      <c r="D66" s="30" t="s">
        <v>81</v>
      </c>
      <c r="E66" s="40">
        <v>2021</v>
      </c>
      <c r="F66" s="30" t="s">
        <v>974</v>
      </c>
      <c r="G66" s="9" t="s">
        <v>602</v>
      </c>
      <c r="H66" s="44" t="s">
        <v>907</v>
      </c>
      <c r="I66" s="40" t="s">
        <v>186</v>
      </c>
      <c r="J66" s="40" t="s">
        <v>151</v>
      </c>
      <c r="K66" s="49" t="s">
        <v>152</v>
      </c>
      <c r="L66" s="40">
        <v>3</v>
      </c>
      <c r="M66" s="40" t="s">
        <v>157</v>
      </c>
      <c r="N66" s="30" t="s">
        <v>609</v>
      </c>
      <c r="O66" s="30" t="s">
        <v>699</v>
      </c>
      <c r="P66" s="40">
        <v>2019</v>
      </c>
      <c r="Q66" s="30" t="s">
        <v>910</v>
      </c>
      <c r="R66" s="31">
        <v>607</v>
      </c>
      <c r="S66" s="43">
        <f t="shared" si="32"/>
        <v>607</v>
      </c>
      <c r="T66" s="32">
        <f t="shared" ref="T66:T76" si="34">VLOOKUP(G66,gdppc,P66-1958,FALSE)</f>
        <v>4135.2015309999997</v>
      </c>
      <c r="U66" s="30" t="str">
        <f t="shared" ref="U66:U76" si="35">IF(S66&lt;T66,"Cost-Effective","Not Cost-Effective")</f>
        <v>Cost-Effective</v>
      </c>
      <c r="V66" s="30" t="str">
        <f t="shared" ref="V66:V76" si="36">IF(S66&lt;T66*3,"Cost-Effective","Not Cost-Effective")</f>
        <v>Cost-Effective</v>
      </c>
      <c r="W66" s="41">
        <f t="shared" ref="W66:W76" si="37">S66/T66</f>
        <v>0.1467884927613701</v>
      </c>
      <c r="X66" s="55">
        <f t="shared" ref="X66:X76" si="38">IFERROR(VLOOKUP(G66,ochalek,11,FALSE),0)</f>
        <v>0.23</v>
      </c>
      <c r="Y66" s="30" t="str">
        <f t="shared" ref="Y66:Y76" si="39">IF( W66&lt;X66, "Cost-Effective", IF( W66-X66=W66, "No Threshold", "Not Cost-Effective"))</f>
        <v>Cost-Effective</v>
      </c>
      <c r="Z66" s="55">
        <f t="shared" ref="Z66:Z76" si="40">IFERROR(VLOOKUP(G66,ochalek,10,FALSE),0)</f>
        <v>0.16</v>
      </c>
      <c r="AA66" s="30" t="str">
        <f t="shared" ref="AA66:AA76" si="41">IF( W66&lt;Z66, "Cost-Effective", IF( W66-Z66=W66, "No Threshold", "Not Cost-Effective"))</f>
        <v>Cost-Effective</v>
      </c>
      <c r="AB66" s="55">
        <f t="shared" ref="AB66:AB76" si="42">IFERROR(VLOOKUP(G66,woods,6,FALSE),0)</f>
        <v>0.49283550177804297</v>
      </c>
      <c r="AC66" s="30" t="str">
        <f t="shared" ref="AC66:AC76" si="43">IF( W66&lt;AB66, "Cost-Effective", IF( W66-AB66=W66, "No Threshold", "Not Cost-Effective"))</f>
        <v>Cost-Effective</v>
      </c>
      <c r="AD66" s="55">
        <f t="shared" ref="AD66:AD76" si="44">IFERROR(VLOOKUP(G66,woods,5,FALSE),0)</f>
        <v>0.13024544055948281</v>
      </c>
      <c r="AE66" s="30" t="str">
        <f t="shared" ref="AE66:AE76" si="45">IF( W66&lt;AD66, "Cost-Effective", IF( W66-AD66=W66, "No Threshold", "Not Cost-Effective"))</f>
        <v>Not Cost-Effective</v>
      </c>
      <c r="AF66" s="30" t="s">
        <v>210</v>
      </c>
      <c r="AG66" s="30" t="s">
        <v>174</v>
      </c>
      <c r="AH66" s="30" t="s">
        <v>975</v>
      </c>
      <c r="AJ66" s="30" t="s">
        <v>148</v>
      </c>
    </row>
    <row r="67" spans="1:36" ht="12.75" customHeight="1">
      <c r="A67" s="40">
        <f t="shared" si="30"/>
        <v>19</v>
      </c>
      <c r="B67" s="40">
        <f t="shared" si="31"/>
        <v>7</v>
      </c>
      <c r="C67" s="51" t="str">
        <f t="shared" si="33"/>
        <v>1907</v>
      </c>
      <c r="D67" s="30" t="s">
        <v>81</v>
      </c>
      <c r="E67" s="40">
        <v>2021</v>
      </c>
      <c r="F67" s="30" t="s">
        <v>974</v>
      </c>
      <c r="G67" s="9" t="s">
        <v>602</v>
      </c>
      <c r="H67" s="44" t="s">
        <v>911</v>
      </c>
      <c r="I67" s="40" t="s">
        <v>186</v>
      </c>
      <c r="J67" s="40" t="s">
        <v>151</v>
      </c>
      <c r="K67" s="49" t="s">
        <v>152</v>
      </c>
      <c r="L67" s="40">
        <v>3</v>
      </c>
      <c r="M67" s="40" t="s">
        <v>157</v>
      </c>
      <c r="N67" s="30" t="s">
        <v>604</v>
      </c>
      <c r="O67" s="30" t="s">
        <v>699</v>
      </c>
      <c r="P67" s="40">
        <v>2019</v>
      </c>
      <c r="Q67" s="30" t="s">
        <v>912</v>
      </c>
      <c r="R67" s="31">
        <v>718</v>
      </c>
      <c r="S67" s="43">
        <f t="shared" si="32"/>
        <v>718</v>
      </c>
      <c r="T67" s="32">
        <f t="shared" si="34"/>
        <v>4135.2015309999997</v>
      </c>
      <c r="U67" s="30" t="str">
        <f t="shared" si="35"/>
        <v>Cost-Effective</v>
      </c>
      <c r="V67" s="30" t="str">
        <f t="shared" si="36"/>
        <v>Cost-Effective</v>
      </c>
      <c r="W67" s="41">
        <f t="shared" si="37"/>
        <v>0.17363119901592047</v>
      </c>
      <c r="X67" s="55">
        <f t="shared" si="38"/>
        <v>0.23</v>
      </c>
      <c r="Y67" s="30" t="str">
        <f t="shared" si="39"/>
        <v>Cost-Effective</v>
      </c>
      <c r="Z67" s="55">
        <f t="shared" si="40"/>
        <v>0.16</v>
      </c>
      <c r="AA67" s="30" t="str">
        <f t="shared" si="41"/>
        <v>Not Cost-Effective</v>
      </c>
      <c r="AB67" s="55">
        <f t="shared" si="42"/>
        <v>0.49283550177804297</v>
      </c>
      <c r="AC67" s="30" t="str">
        <f t="shared" si="43"/>
        <v>Cost-Effective</v>
      </c>
      <c r="AD67" s="55">
        <f t="shared" si="44"/>
        <v>0.13024544055948281</v>
      </c>
      <c r="AE67" s="30" t="str">
        <f t="shared" si="45"/>
        <v>Not Cost-Effective</v>
      </c>
      <c r="AF67" s="30" t="s">
        <v>210</v>
      </c>
      <c r="AG67" s="30" t="s">
        <v>174</v>
      </c>
      <c r="AH67" s="30" t="s">
        <v>975</v>
      </c>
      <c r="AJ67" s="30" t="s">
        <v>148</v>
      </c>
    </row>
    <row r="68" spans="1:36" ht="12.75" customHeight="1">
      <c r="A68" s="40">
        <f t="shared" si="30"/>
        <v>19</v>
      </c>
      <c r="B68" s="40">
        <f t="shared" si="31"/>
        <v>8</v>
      </c>
      <c r="C68" s="51" t="str">
        <f t="shared" si="33"/>
        <v>1908</v>
      </c>
      <c r="D68" s="30" t="s">
        <v>81</v>
      </c>
      <c r="E68" s="40">
        <v>2021</v>
      </c>
      <c r="F68" s="30" t="s">
        <v>974</v>
      </c>
      <c r="G68" s="9" t="s">
        <v>602</v>
      </c>
      <c r="H68" s="44" t="s">
        <v>911</v>
      </c>
      <c r="I68" s="40" t="s">
        <v>186</v>
      </c>
      <c r="J68" s="40" t="s">
        <v>151</v>
      </c>
      <c r="K68" s="49" t="s">
        <v>152</v>
      </c>
      <c r="L68" s="40">
        <v>3</v>
      </c>
      <c r="M68" s="40" t="s">
        <v>157</v>
      </c>
      <c r="N68" s="30" t="s">
        <v>887</v>
      </c>
      <c r="O68" s="30" t="s">
        <v>699</v>
      </c>
      <c r="P68" s="40">
        <v>2019</v>
      </c>
      <c r="Q68" s="30" t="s">
        <v>913</v>
      </c>
      <c r="R68" s="31">
        <v>810</v>
      </c>
      <c r="S68" s="43">
        <f t="shared" si="32"/>
        <v>810</v>
      </c>
      <c r="T68" s="32">
        <f t="shared" si="34"/>
        <v>4135.2015309999997</v>
      </c>
      <c r="U68" s="30" t="str">
        <f t="shared" si="35"/>
        <v>Cost-Effective</v>
      </c>
      <c r="V68" s="30" t="str">
        <f t="shared" si="36"/>
        <v>Cost-Effective</v>
      </c>
      <c r="W68" s="41">
        <f t="shared" si="37"/>
        <v>0.19587920780347576</v>
      </c>
      <c r="X68" s="55">
        <f t="shared" si="38"/>
        <v>0.23</v>
      </c>
      <c r="Y68" s="30" t="str">
        <f t="shared" si="39"/>
        <v>Cost-Effective</v>
      </c>
      <c r="Z68" s="55">
        <f t="shared" si="40"/>
        <v>0.16</v>
      </c>
      <c r="AA68" s="30" t="str">
        <f t="shared" si="41"/>
        <v>Not Cost-Effective</v>
      </c>
      <c r="AB68" s="55">
        <f t="shared" si="42"/>
        <v>0.49283550177804297</v>
      </c>
      <c r="AC68" s="30" t="str">
        <f t="shared" si="43"/>
        <v>Cost-Effective</v>
      </c>
      <c r="AD68" s="55">
        <f t="shared" si="44"/>
        <v>0.13024544055948281</v>
      </c>
      <c r="AE68" s="30" t="str">
        <f t="shared" si="45"/>
        <v>Not Cost-Effective</v>
      </c>
      <c r="AF68" s="30" t="s">
        <v>210</v>
      </c>
      <c r="AG68" s="30" t="s">
        <v>174</v>
      </c>
      <c r="AH68" s="30" t="s">
        <v>975</v>
      </c>
      <c r="AJ68" s="30" t="s">
        <v>148</v>
      </c>
    </row>
    <row r="69" spans="1:36" ht="12.75" customHeight="1">
      <c r="A69" s="40">
        <f t="shared" si="30"/>
        <v>19</v>
      </c>
      <c r="B69" s="40">
        <f t="shared" si="31"/>
        <v>9</v>
      </c>
      <c r="C69" s="51" t="str">
        <f t="shared" si="33"/>
        <v>1909</v>
      </c>
      <c r="D69" s="30" t="s">
        <v>81</v>
      </c>
      <c r="E69" s="40">
        <v>2021</v>
      </c>
      <c r="F69" s="30" t="s">
        <v>974</v>
      </c>
      <c r="G69" s="9" t="s">
        <v>602</v>
      </c>
      <c r="H69" s="44" t="s">
        <v>911</v>
      </c>
      <c r="I69" s="40" t="s">
        <v>186</v>
      </c>
      <c r="J69" s="40" t="s">
        <v>151</v>
      </c>
      <c r="K69" s="49" t="s">
        <v>152</v>
      </c>
      <c r="L69" s="40">
        <v>3</v>
      </c>
      <c r="M69" s="40" t="s">
        <v>157</v>
      </c>
      <c r="N69" s="30" t="s">
        <v>609</v>
      </c>
      <c r="O69" s="30" t="s">
        <v>699</v>
      </c>
      <c r="P69" s="40">
        <v>2019</v>
      </c>
      <c r="Q69" s="30" t="s">
        <v>914</v>
      </c>
      <c r="R69" s="31">
        <v>978</v>
      </c>
      <c r="S69" s="43">
        <f t="shared" si="32"/>
        <v>978</v>
      </c>
      <c r="T69" s="32">
        <f t="shared" si="34"/>
        <v>4135.2015309999997</v>
      </c>
      <c r="U69" s="30" t="str">
        <f t="shared" si="35"/>
        <v>Cost-Effective</v>
      </c>
      <c r="V69" s="30" t="str">
        <f t="shared" si="36"/>
        <v>Cost-Effective</v>
      </c>
      <c r="W69" s="41">
        <f t="shared" si="37"/>
        <v>0.23650600645901146</v>
      </c>
      <c r="X69" s="55">
        <f t="shared" si="38"/>
        <v>0.23</v>
      </c>
      <c r="Y69" s="30" t="str">
        <f t="shared" si="39"/>
        <v>Not Cost-Effective</v>
      </c>
      <c r="Z69" s="55">
        <f t="shared" si="40"/>
        <v>0.16</v>
      </c>
      <c r="AA69" s="30" t="str">
        <f t="shared" si="41"/>
        <v>Not Cost-Effective</v>
      </c>
      <c r="AB69" s="55">
        <f t="shared" si="42"/>
        <v>0.49283550177804297</v>
      </c>
      <c r="AC69" s="30" t="str">
        <f t="shared" si="43"/>
        <v>Cost-Effective</v>
      </c>
      <c r="AD69" s="55">
        <f t="shared" si="44"/>
        <v>0.13024544055948281</v>
      </c>
      <c r="AE69" s="30" t="str">
        <f t="shared" si="45"/>
        <v>Not Cost-Effective</v>
      </c>
      <c r="AF69" s="30" t="s">
        <v>210</v>
      </c>
      <c r="AG69" s="30" t="s">
        <v>174</v>
      </c>
      <c r="AH69" s="30" t="s">
        <v>975</v>
      </c>
      <c r="AJ69" s="30" t="s">
        <v>148</v>
      </c>
    </row>
    <row r="70" spans="1:36" ht="12.75" customHeight="1">
      <c r="A70" s="40">
        <f t="shared" si="30"/>
        <v>19</v>
      </c>
      <c r="B70" s="40">
        <f t="shared" si="31"/>
        <v>10</v>
      </c>
      <c r="C70" s="51" t="str">
        <f t="shared" si="33"/>
        <v>1910</v>
      </c>
      <c r="D70" s="30" t="s">
        <v>81</v>
      </c>
      <c r="E70" s="40">
        <v>2021</v>
      </c>
      <c r="F70" s="30" t="s">
        <v>974</v>
      </c>
      <c r="G70" s="9" t="s">
        <v>602</v>
      </c>
      <c r="H70" s="44" t="s">
        <v>915</v>
      </c>
      <c r="I70" s="40" t="s">
        <v>186</v>
      </c>
      <c r="J70" s="40" t="s">
        <v>151</v>
      </c>
      <c r="K70" s="49" t="s">
        <v>152</v>
      </c>
      <c r="L70" s="40">
        <v>3</v>
      </c>
      <c r="M70" s="40" t="s">
        <v>157</v>
      </c>
      <c r="N70" s="30" t="s">
        <v>604</v>
      </c>
      <c r="O70" s="30" t="s">
        <v>699</v>
      </c>
      <c r="P70" s="40">
        <v>2019</v>
      </c>
      <c r="Q70" s="30" t="s">
        <v>916</v>
      </c>
      <c r="R70" s="31">
        <v>1087</v>
      </c>
      <c r="S70" s="43">
        <f t="shared" si="32"/>
        <v>1087</v>
      </c>
      <c r="T70" s="32">
        <f t="shared" si="34"/>
        <v>4135.2015309999997</v>
      </c>
      <c r="U70" s="30" t="str">
        <f t="shared" si="35"/>
        <v>Cost-Effective</v>
      </c>
      <c r="V70" s="30" t="str">
        <f t="shared" si="36"/>
        <v>Cost-Effective</v>
      </c>
      <c r="W70" s="41">
        <f t="shared" si="37"/>
        <v>0.26286506034861501</v>
      </c>
      <c r="X70" s="55">
        <f t="shared" si="38"/>
        <v>0.23</v>
      </c>
      <c r="Y70" s="30" t="str">
        <f t="shared" si="39"/>
        <v>Not Cost-Effective</v>
      </c>
      <c r="Z70" s="55">
        <f t="shared" si="40"/>
        <v>0.16</v>
      </c>
      <c r="AA70" s="30" t="str">
        <f t="shared" si="41"/>
        <v>Not Cost-Effective</v>
      </c>
      <c r="AB70" s="55">
        <f t="shared" si="42"/>
        <v>0.49283550177804297</v>
      </c>
      <c r="AC70" s="30" t="str">
        <f t="shared" si="43"/>
        <v>Cost-Effective</v>
      </c>
      <c r="AD70" s="55">
        <f t="shared" si="44"/>
        <v>0.13024544055948281</v>
      </c>
      <c r="AE70" s="30" t="str">
        <f t="shared" si="45"/>
        <v>Not Cost-Effective</v>
      </c>
      <c r="AF70" s="30" t="s">
        <v>210</v>
      </c>
      <c r="AG70" s="30" t="s">
        <v>174</v>
      </c>
      <c r="AH70" s="30" t="s">
        <v>975</v>
      </c>
      <c r="AJ70" s="30" t="s">
        <v>148</v>
      </c>
    </row>
    <row r="71" spans="1:36" ht="12.75" customHeight="1">
      <c r="A71" s="40">
        <f t="shared" si="30"/>
        <v>19</v>
      </c>
      <c r="B71" s="40">
        <f t="shared" si="31"/>
        <v>11</v>
      </c>
      <c r="C71" s="51" t="str">
        <f t="shared" si="33"/>
        <v>1911</v>
      </c>
      <c r="D71" s="30" t="s">
        <v>81</v>
      </c>
      <c r="E71" s="40">
        <v>2021</v>
      </c>
      <c r="F71" s="30" t="s">
        <v>974</v>
      </c>
      <c r="G71" s="9" t="s">
        <v>602</v>
      </c>
      <c r="H71" s="44" t="s">
        <v>917</v>
      </c>
      <c r="I71" s="40" t="s">
        <v>183</v>
      </c>
      <c r="J71" s="40" t="s">
        <v>151</v>
      </c>
      <c r="K71" s="49" t="s">
        <v>152</v>
      </c>
      <c r="L71" s="40">
        <v>3</v>
      </c>
      <c r="M71" s="40" t="s">
        <v>157</v>
      </c>
      <c r="N71" s="30" t="s">
        <v>153</v>
      </c>
      <c r="O71" s="30" t="s">
        <v>699</v>
      </c>
      <c r="P71" s="40">
        <v>2019</v>
      </c>
      <c r="Q71" s="30" t="s">
        <v>918</v>
      </c>
      <c r="R71" s="31">
        <v>1179</v>
      </c>
      <c r="S71" s="43">
        <f t="shared" si="32"/>
        <v>1179</v>
      </c>
      <c r="T71" s="32">
        <f t="shared" si="34"/>
        <v>4135.2015309999997</v>
      </c>
      <c r="U71" s="30" t="str">
        <f t="shared" si="35"/>
        <v>Cost-Effective</v>
      </c>
      <c r="V71" s="30" t="str">
        <f t="shared" si="36"/>
        <v>Cost-Effective</v>
      </c>
      <c r="W71" s="41">
        <f t="shared" si="37"/>
        <v>0.28511306913617024</v>
      </c>
      <c r="X71" s="55">
        <f t="shared" si="38"/>
        <v>0.23</v>
      </c>
      <c r="Y71" s="30" t="str">
        <f t="shared" si="39"/>
        <v>Not Cost-Effective</v>
      </c>
      <c r="Z71" s="55">
        <f t="shared" si="40"/>
        <v>0.16</v>
      </c>
      <c r="AA71" s="30" t="str">
        <f t="shared" si="41"/>
        <v>Not Cost-Effective</v>
      </c>
      <c r="AB71" s="55">
        <f t="shared" si="42"/>
        <v>0.49283550177804297</v>
      </c>
      <c r="AC71" s="30" t="str">
        <f t="shared" si="43"/>
        <v>Cost-Effective</v>
      </c>
      <c r="AD71" s="55">
        <f t="shared" si="44"/>
        <v>0.13024544055948281</v>
      </c>
      <c r="AE71" s="30" t="str">
        <f t="shared" si="45"/>
        <v>Not Cost-Effective</v>
      </c>
      <c r="AF71" s="30" t="s">
        <v>210</v>
      </c>
      <c r="AG71" s="30" t="s">
        <v>174</v>
      </c>
      <c r="AH71" s="30" t="s">
        <v>975</v>
      </c>
      <c r="AJ71" s="30" t="s">
        <v>148</v>
      </c>
    </row>
    <row r="72" spans="1:36" ht="12.75" customHeight="1">
      <c r="A72" s="40">
        <f t="shared" si="30"/>
        <v>19</v>
      </c>
      <c r="B72" s="40">
        <f t="shared" si="31"/>
        <v>12</v>
      </c>
      <c r="C72" s="51" t="str">
        <f t="shared" si="33"/>
        <v>1912</v>
      </c>
      <c r="D72" s="30" t="s">
        <v>81</v>
      </c>
      <c r="E72" s="40">
        <v>2021</v>
      </c>
      <c r="F72" s="30" t="s">
        <v>974</v>
      </c>
      <c r="G72" s="9" t="s">
        <v>602</v>
      </c>
      <c r="H72" s="44" t="s">
        <v>917</v>
      </c>
      <c r="I72" s="40" t="s">
        <v>183</v>
      </c>
      <c r="J72" s="40" t="s">
        <v>151</v>
      </c>
      <c r="K72" s="49" t="s">
        <v>152</v>
      </c>
      <c r="L72" s="40">
        <v>3</v>
      </c>
      <c r="M72" s="40" t="s">
        <v>157</v>
      </c>
      <c r="N72" s="30" t="s">
        <v>609</v>
      </c>
      <c r="O72" s="30" t="s">
        <v>699</v>
      </c>
      <c r="P72" s="40">
        <v>2019</v>
      </c>
      <c r="Q72" s="30" t="s">
        <v>919</v>
      </c>
      <c r="R72" s="31">
        <v>1248</v>
      </c>
      <c r="S72" s="43">
        <f t="shared" si="32"/>
        <v>1248</v>
      </c>
      <c r="T72" s="32">
        <f t="shared" si="34"/>
        <v>4135.2015309999997</v>
      </c>
      <c r="U72" s="30" t="str">
        <f t="shared" si="35"/>
        <v>Cost-Effective</v>
      </c>
      <c r="V72" s="30" t="str">
        <f t="shared" si="36"/>
        <v>Cost-Effective</v>
      </c>
      <c r="W72" s="41">
        <f t="shared" si="37"/>
        <v>0.30179907572683673</v>
      </c>
      <c r="X72" s="55">
        <f t="shared" si="38"/>
        <v>0.23</v>
      </c>
      <c r="Y72" s="30" t="str">
        <f t="shared" si="39"/>
        <v>Not Cost-Effective</v>
      </c>
      <c r="Z72" s="55">
        <f t="shared" si="40"/>
        <v>0.16</v>
      </c>
      <c r="AA72" s="30" t="str">
        <f t="shared" si="41"/>
        <v>Not Cost-Effective</v>
      </c>
      <c r="AB72" s="55">
        <f t="shared" si="42"/>
        <v>0.49283550177804297</v>
      </c>
      <c r="AC72" s="30" t="str">
        <f t="shared" si="43"/>
        <v>Cost-Effective</v>
      </c>
      <c r="AD72" s="55">
        <f t="shared" si="44"/>
        <v>0.13024544055948281</v>
      </c>
      <c r="AE72" s="30" t="str">
        <f t="shared" si="45"/>
        <v>Not Cost-Effective</v>
      </c>
      <c r="AF72" s="30" t="s">
        <v>210</v>
      </c>
      <c r="AG72" s="30" t="s">
        <v>174</v>
      </c>
      <c r="AH72" s="30" t="s">
        <v>975</v>
      </c>
      <c r="AJ72" s="30" t="s">
        <v>148</v>
      </c>
    </row>
    <row r="73" spans="1:36" ht="12.75" customHeight="1">
      <c r="A73" s="40">
        <f t="shared" si="30"/>
        <v>20</v>
      </c>
      <c r="B73" s="40">
        <f t="shared" si="31"/>
        <v>1</v>
      </c>
      <c r="C73" s="51" t="str">
        <f t="shared" si="33"/>
        <v>2001</v>
      </c>
      <c r="D73" s="30" t="s">
        <v>83</v>
      </c>
      <c r="E73" s="40">
        <v>2021</v>
      </c>
      <c r="F73" s="30" t="s">
        <v>976</v>
      </c>
      <c r="G73" s="9" t="s">
        <v>147</v>
      </c>
      <c r="H73" s="44" t="s">
        <v>977</v>
      </c>
      <c r="I73" s="40" t="s">
        <v>186</v>
      </c>
      <c r="J73" s="40" t="s">
        <v>151</v>
      </c>
      <c r="K73" s="49" t="s">
        <v>166</v>
      </c>
      <c r="L73" s="40">
        <v>4</v>
      </c>
      <c r="M73" s="40" t="s">
        <v>157</v>
      </c>
      <c r="N73" s="30" t="s">
        <v>887</v>
      </c>
      <c r="O73" s="30" t="s">
        <v>920</v>
      </c>
      <c r="P73" s="40">
        <v>2019</v>
      </c>
      <c r="Q73" s="30" t="s">
        <v>921</v>
      </c>
      <c r="R73" s="31">
        <v>15394</v>
      </c>
      <c r="S73" s="43">
        <f t="shared" si="32"/>
        <v>15394</v>
      </c>
      <c r="T73" s="32">
        <f t="shared" si="34"/>
        <v>10143.838170000001</v>
      </c>
      <c r="U73" s="30" t="str">
        <f t="shared" si="35"/>
        <v>Not Cost-Effective</v>
      </c>
      <c r="V73" s="30" t="str">
        <f t="shared" si="36"/>
        <v>Cost-Effective</v>
      </c>
      <c r="W73" s="41">
        <f t="shared" si="37"/>
        <v>1.5175715288446876</v>
      </c>
      <c r="X73" s="55">
        <f t="shared" si="38"/>
        <v>0.71</v>
      </c>
      <c r="Y73" s="30" t="str">
        <f t="shared" si="39"/>
        <v>Not Cost-Effective</v>
      </c>
      <c r="Z73" s="55">
        <f t="shared" si="40"/>
        <v>0.45</v>
      </c>
      <c r="AA73" s="30" t="str">
        <f t="shared" si="41"/>
        <v>Not Cost-Effective</v>
      </c>
      <c r="AB73" s="55">
        <f t="shared" si="42"/>
        <v>0.6481168977852142</v>
      </c>
      <c r="AC73" s="30" t="str">
        <f t="shared" si="43"/>
        <v>Not Cost-Effective</v>
      </c>
      <c r="AD73" s="55">
        <f t="shared" si="44"/>
        <v>0.16395220864852342</v>
      </c>
      <c r="AE73" s="30" t="str">
        <f t="shared" si="45"/>
        <v>Not Cost-Effective</v>
      </c>
      <c r="AF73" s="30" t="s">
        <v>173</v>
      </c>
      <c r="AG73" s="30" t="s">
        <v>174</v>
      </c>
      <c r="AJ73" s="30" t="s">
        <v>148</v>
      </c>
    </row>
    <row r="74" spans="1:36" ht="12.75" customHeight="1">
      <c r="A74" s="40">
        <f t="shared" si="30"/>
        <v>20</v>
      </c>
      <c r="B74" s="40">
        <f t="shared" si="31"/>
        <v>2</v>
      </c>
      <c r="C74" s="51" t="str">
        <f t="shared" si="33"/>
        <v>2002</v>
      </c>
      <c r="D74" s="30" t="s">
        <v>83</v>
      </c>
      <c r="E74" s="40">
        <v>2021</v>
      </c>
      <c r="F74" s="30" t="s">
        <v>976</v>
      </c>
      <c r="G74" s="9" t="s">
        <v>147</v>
      </c>
      <c r="H74" s="44" t="s">
        <v>977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157</v>
      </c>
      <c r="N74" s="30" t="s">
        <v>887</v>
      </c>
      <c r="O74" s="30" t="s">
        <v>920</v>
      </c>
      <c r="P74" s="40">
        <v>2019</v>
      </c>
      <c r="Q74" s="30" t="s">
        <v>922</v>
      </c>
      <c r="R74" s="31">
        <v>2292</v>
      </c>
      <c r="S74" s="43">
        <f t="shared" si="32"/>
        <v>2292</v>
      </c>
      <c r="T74" s="32">
        <f t="shared" si="34"/>
        <v>10143.838170000001</v>
      </c>
      <c r="U74" s="30" t="str">
        <f t="shared" si="35"/>
        <v>Cost-Effective</v>
      </c>
      <c r="V74" s="30" t="str">
        <f t="shared" si="36"/>
        <v>Cost-Effective</v>
      </c>
      <c r="W74" s="41">
        <f t="shared" si="37"/>
        <v>0.22594997688138393</v>
      </c>
      <c r="X74" s="55">
        <f t="shared" si="38"/>
        <v>0.71</v>
      </c>
      <c r="Y74" s="30" t="str">
        <f t="shared" si="39"/>
        <v>Cost-Effective</v>
      </c>
      <c r="Z74" s="55">
        <f t="shared" si="40"/>
        <v>0.45</v>
      </c>
      <c r="AA74" s="30" t="str">
        <f t="shared" si="41"/>
        <v>Cost-Effective</v>
      </c>
      <c r="AB74" s="55">
        <f t="shared" si="42"/>
        <v>0.6481168977852142</v>
      </c>
      <c r="AC74" s="30" t="str">
        <f t="shared" si="43"/>
        <v>Cost-Effective</v>
      </c>
      <c r="AD74" s="55">
        <f t="shared" si="44"/>
        <v>0.16395220864852342</v>
      </c>
      <c r="AE74" s="30" t="str">
        <f t="shared" si="45"/>
        <v>Not Cost-Effective</v>
      </c>
      <c r="AF74" s="30" t="s">
        <v>173</v>
      </c>
      <c r="AG74" s="30" t="s">
        <v>174</v>
      </c>
      <c r="AJ74" s="30" t="s">
        <v>148</v>
      </c>
    </row>
    <row r="75" spans="1:36" ht="12.75" customHeight="1">
      <c r="A75" s="40">
        <f t="shared" si="30"/>
        <v>20</v>
      </c>
      <c r="B75" s="40">
        <f t="shared" si="31"/>
        <v>3</v>
      </c>
      <c r="C75" s="51" t="str">
        <f t="shared" si="33"/>
        <v>2003</v>
      </c>
      <c r="D75" s="30" t="s">
        <v>83</v>
      </c>
      <c r="E75" s="40">
        <v>2021</v>
      </c>
      <c r="F75" s="30" t="s">
        <v>976</v>
      </c>
      <c r="G75" s="9" t="s">
        <v>147</v>
      </c>
      <c r="H75" s="44" t="s">
        <v>977</v>
      </c>
      <c r="I75" s="40" t="s">
        <v>186</v>
      </c>
      <c r="J75" s="40" t="s">
        <v>151</v>
      </c>
      <c r="K75" s="49" t="s">
        <v>383</v>
      </c>
      <c r="L75" s="40">
        <v>2</v>
      </c>
      <c r="M75" s="40" t="s">
        <v>157</v>
      </c>
      <c r="N75" s="30" t="s">
        <v>887</v>
      </c>
      <c r="O75" s="30" t="s">
        <v>920</v>
      </c>
      <c r="P75" s="40">
        <v>2019</v>
      </c>
      <c r="Q75" s="30" t="s">
        <v>923</v>
      </c>
      <c r="R75" s="31">
        <v>3445</v>
      </c>
      <c r="S75" s="43">
        <f t="shared" si="32"/>
        <v>3445</v>
      </c>
      <c r="T75" s="32">
        <f t="shared" si="34"/>
        <v>10143.838170000001</v>
      </c>
      <c r="U75" s="30" t="str">
        <f t="shared" si="35"/>
        <v>Cost-Effective</v>
      </c>
      <c r="V75" s="30" t="str">
        <f t="shared" si="36"/>
        <v>Cost-Effective</v>
      </c>
      <c r="W75" s="41">
        <f t="shared" si="37"/>
        <v>0.33961503942249893</v>
      </c>
      <c r="X75" s="55">
        <f t="shared" si="38"/>
        <v>0.71</v>
      </c>
      <c r="Y75" s="30" t="str">
        <f t="shared" si="39"/>
        <v>Cost-Effective</v>
      </c>
      <c r="Z75" s="55">
        <f t="shared" si="40"/>
        <v>0.45</v>
      </c>
      <c r="AA75" s="30" t="str">
        <f t="shared" si="41"/>
        <v>Cost-Effective</v>
      </c>
      <c r="AB75" s="55">
        <f t="shared" si="42"/>
        <v>0.6481168977852142</v>
      </c>
      <c r="AC75" s="30" t="str">
        <f t="shared" si="43"/>
        <v>Cost-Effective</v>
      </c>
      <c r="AD75" s="55">
        <f t="shared" si="44"/>
        <v>0.16395220864852342</v>
      </c>
      <c r="AE75" s="30" t="str">
        <f t="shared" si="45"/>
        <v>Not Cost-Effective</v>
      </c>
      <c r="AF75" s="30" t="s">
        <v>173</v>
      </c>
      <c r="AG75" s="30" t="s">
        <v>174</v>
      </c>
      <c r="AJ75" s="30" t="s">
        <v>148</v>
      </c>
    </row>
    <row r="76" spans="1:36" ht="12.75" customHeight="1">
      <c r="A76" s="40">
        <f t="shared" si="30"/>
        <v>20</v>
      </c>
      <c r="B76" s="40">
        <f t="shared" si="31"/>
        <v>4</v>
      </c>
      <c r="C76" s="51" t="str">
        <f t="shared" si="33"/>
        <v>2004</v>
      </c>
      <c r="D76" s="30" t="s">
        <v>83</v>
      </c>
      <c r="E76" s="40">
        <v>2021</v>
      </c>
      <c r="F76" s="30" t="s">
        <v>976</v>
      </c>
      <c r="G76" s="9" t="s">
        <v>147</v>
      </c>
      <c r="H76" s="44" t="s">
        <v>977</v>
      </c>
      <c r="I76" s="40" t="s">
        <v>186</v>
      </c>
      <c r="J76" s="40" t="s">
        <v>151</v>
      </c>
      <c r="K76" s="49" t="s">
        <v>392</v>
      </c>
      <c r="L76" s="40">
        <v>1</v>
      </c>
      <c r="M76" s="40" t="s">
        <v>157</v>
      </c>
      <c r="N76" s="30" t="s">
        <v>887</v>
      </c>
      <c r="O76" s="30" t="s">
        <v>920</v>
      </c>
      <c r="P76" s="40">
        <v>2019</v>
      </c>
      <c r="Q76" s="30" t="s">
        <v>924</v>
      </c>
      <c r="R76" s="31">
        <v>4417</v>
      </c>
      <c r="S76" s="43">
        <f t="shared" si="32"/>
        <v>4417</v>
      </c>
      <c r="T76" s="32">
        <f t="shared" si="34"/>
        <v>10143.838170000001</v>
      </c>
      <c r="U76" s="30" t="str">
        <f t="shared" si="35"/>
        <v>Cost-Effective</v>
      </c>
      <c r="V76" s="30" t="str">
        <f t="shared" si="36"/>
        <v>Cost-Effective</v>
      </c>
      <c r="W76" s="41">
        <f t="shared" si="37"/>
        <v>0.43543675736696019</v>
      </c>
      <c r="X76" s="55">
        <f t="shared" si="38"/>
        <v>0.71</v>
      </c>
      <c r="Y76" s="30" t="str">
        <f t="shared" si="39"/>
        <v>Cost-Effective</v>
      </c>
      <c r="Z76" s="55">
        <f t="shared" si="40"/>
        <v>0.45</v>
      </c>
      <c r="AA76" s="30" t="str">
        <f t="shared" si="41"/>
        <v>Cost-Effective</v>
      </c>
      <c r="AB76" s="55">
        <f t="shared" si="42"/>
        <v>0.6481168977852142</v>
      </c>
      <c r="AC76" s="30" t="str">
        <f t="shared" si="43"/>
        <v>Cost-Effective</v>
      </c>
      <c r="AD76" s="55">
        <f t="shared" si="44"/>
        <v>0.16395220864852342</v>
      </c>
      <c r="AE76" s="30" t="str">
        <f t="shared" si="45"/>
        <v>Not Cost-Effective</v>
      </c>
      <c r="AF76" s="30" t="s">
        <v>173</v>
      </c>
      <c r="AG76" s="30" t="s">
        <v>174</v>
      </c>
      <c r="AJ76" s="30" t="s">
        <v>148</v>
      </c>
    </row>
    <row r="80" spans="1:36" ht="12.75" customHeight="1">
      <c r="AF80" s="30" t="s">
        <v>978</v>
      </c>
    </row>
    <row r="81" spans="6:32" ht="12.75" customHeight="1">
      <c r="AF81" s="30">
        <f>COUNTIF(AF2:AF76,"one GDPpc")</f>
        <v>32</v>
      </c>
    </row>
    <row r="82" spans="6:32" ht="12.75" customHeight="1">
      <c r="AF82" s="30">
        <f>COUNTIF(AF2:AF76,"three GDPpc")</f>
        <v>17</v>
      </c>
    </row>
    <row r="83" spans="6:32" ht="12.75" customHeight="1">
      <c r="AF83" s="30">
        <f>COUNTIF(AF2:AF76,"two GDPpc")</f>
        <v>3</v>
      </c>
    </row>
    <row r="85" spans="6:32" ht="12.75" customHeight="1">
      <c r="F85" s="37" t="s">
        <v>926</v>
      </c>
    </row>
    <row r="86" spans="6:32" ht="12.75" customHeight="1">
      <c r="F86" s="30" t="s">
        <v>927</v>
      </c>
    </row>
    <row r="87" spans="6:32" ht="12.75" customHeight="1">
      <c r="F87" s="30" t="s">
        <v>928</v>
      </c>
      <c r="G87" s="30" t="s">
        <v>929</v>
      </c>
    </row>
    <row r="88" spans="6:32" ht="12.75" customHeight="1">
      <c r="F88" s="30" t="s">
        <v>930</v>
      </c>
      <c r="G88" s="30" t="s">
        <v>929</v>
      </c>
    </row>
    <row r="89" spans="6:32" ht="12.75" customHeight="1">
      <c r="F89" s="30" t="s">
        <v>931</v>
      </c>
      <c r="G89" s="30" t="s">
        <v>929</v>
      </c>
    </row>
    <row r="90" spans="6:32" ht="12.75" customHeight="1">
      <c r="F90" s="30" t="s">
        <v>932</v>
      </c>
      <c r="G90" s="30" t="s">
        <v>929</v>
      </c>
    </row>
    <row r="91" spans="6:32" ht="12.75" customHeight="1">
      <c r="G91" s="30" t="s">
        <v>929</v>
      </c>
    </row>
    <row r="92" spans="6:32" ht="12.75" customHeight="1">
      <c r="F92" s="30" t="s">
        <v>933</v>
      </c>
    </row>
    <row r="94" spans="6:32" ht="12.75" customHeight="1">
      <c r="F94" s="30" t="s">
        <v>934</v>
      </c>
    </row>
    <row r="95" spans="6:32" ht="12.75" customHeight="1">
      <c r="F95" s="59" t="s">
        <v>12</v>
      </c>
    </row>
    <row r="98" spans="6:6" ht="12.75" customHeight="1">
      <c r="F98" s="123" t="s">
        <v>935</v>
      </c>
    </row>
    <row r="99" spans="6:6" ht="12.75" customHeight="1">
      <c r="F99" s="123" t="s">
        <v>936</v>
      </c>
    </row>
    <row r="100" spans="6:6" ht="12.75" customHeight="1">
      <c r="F100" s="30" t="s">
        <v>937</v>
      </c>
    </row>
  </sheetData>
  <autoFilter ref="A1:AG76" xr:uid="{2D6F23DF-7EEB-4A10-8E63-6E12F5A80993}">
    <sortState xmlns:xlrd2="http://schemas.microsoft.com/office/spreadsheetml/2017/richdata2" ref="A2:AG59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F11C-08CE-EB42-8794-8E995B56C654}">
  <sheetPr codeName="Sheet9"/>
  <dimension ref="A1:AH36"/>
  <sheetViews>
    <sheetView topLeftCell="B15" zoomScale="120" zoomScaleNormal="120" workbookViewId="0">
      <selection activeCell="J25" sqref="J25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C1" s="1" t="s">
        <v>979</v>
      </c>
      <c r="K1" s="28"/>
      <c r="L1" s="28"/>
      <c r="M1" s="28"/>
      <c r="R1" s="23"/>
      <c r="V1" s="23"/>
      <c r="Z1" s="23"/>
      <c r="AD1" s="23"/>
    </row>
    <row r="2" spans="1:34">
      <c r="E2" s="210" t="s">
        <v>938</v>
      </c>
      <c r="F2" s="210"/>
      <c r="G2" s="210"/>
      <c r="H2" s="211" t="s">
        <v>939</v>
      </c>
      <c r="I2" s="211"/>
      <c r="J2" s="211"/>
      <c r="K2" s="214" t="s">
        <v>980</v>
      </c>
      <c r="L2" s="214"/>
      <c r="M2" s="214"/>
      <c r="N2" s="214"/>
      <c r="O2" s="212" t="s">
        <v>941</v>
      </c>
      <c r="P2" s="212"/>
      <c r="Q2" s="212"/>
      <c r="R2" s="212"/>
      <c r="S2" s="212" t="s">
        <v>942</v>
      </c>
      <c r="T2" s="212"/>
      <c r="U2" s="212"/>
      <c r="V2" s="212"/>
      <c r="W2" s="213" t="s">
        <v>943</v>
      </c>
      <c r="X2" s="213"/>
      <c r="Y2" s="213"/>
      <c r="Z2" s="213"/>
      <c r="AA2" s="213" t="s">
        <v>944</v>
      </c>
      <c r="AB2" s="213"/>
      <c r="AC2" s="213"/>
      <c r="AD2" s="213"/>
    </row>
    <row r="3" spans="1:34">
      <c r="A3" s="1" t="s">
        <v>945</v>
      </c>
      <c r="B3" s="1" t="s">
        <v>672</v>
      </c>
      <c r="C3" s="1" t="s">
        <v>946</v>
      </c>
      <c r="D3" s="98" t="s">
        <v>11</v>
      </c>
      <c r="E3" s="99" t="s">
        <v>148</v>
      </c>
      <c r="F3" s="99" t="s">
        <v>157</v>
      </c>
      <c r="G3" s="99" t="s">
        <v>947</v>
      </c>
      <c r="H3" s="100" t="s">
        <v>148</v>
      </c>
      <c r="I3" s="100" t="s">
        <v>157</v>
      </c>
      <c r="J3" s="100" t="s">
        <v>947</v>
      </c>
      <c r="K3" s="103" t="s">
        <v>148</v>
      </c>
      <c r="L3" s="103" t="s">
        <v>157</v>
      </c>
      <c r="M3" s="103" t="s">
        <v>948</v>
      </c>
      <c r="N3" s="103" t="s">
        <v>947</v>
      </c>
      <c r="O3" s="101" t="s">
        <v>148</v>
      </c>
      <c r="P3" s="101" t="s">
        <v>157</v>
      </c>
      <c r="Q3" s="101" t="s">
        <v>948</v>
      </c>
      <c r="R3" s="101" t="s">
        <v>947</v>
      </c>
      <c r="S3" s="101" t="s">
        <v>148</v>
      </c>
      <c r="T3" s="101" t="s">
        <v>157</v>
      </c>
      <c r="U3" s="101" t="s">
        <v>948</v>
      </c>
      <c r="V3" s="101" t="s">
        <v>947</v>
      </c>
      <c r="W3" s="102" t="s">
        <v>148</v>
      </c>
      <c r="X3" s="102" t="s">
        <v>157</v>
      </c>
      <c r="Y3" s="102" t="s">
        <v>948</v>
      </c>
      <c r="Z3" s="102" t="s">
        <v>947</v>
      </c>
      <c r="AA3" s="102" t="s">
        <v>148</v>
      </c>
      <c r="AB3" s="102" t="s">
        <v>157</v>
      </c>
      <c r="AC3" s="102" t="s">
        <v>948</v>
      </c>
      <c r="AD3" s="102" t="s">
        <v>947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COUNTIFS('studies (AP)'!$I$2:$I$191,A4,'studies (AP)'!$J$2:$J$191,B4)</f>
        <v>6</v>
      </c>
      <c r="E4" s="80">
        <f>COUNTIFS('studies (AP)'!$I$2:$I$191,A4,'studies (AP)'!$J$2:$J$191,B4,'studies (AP)'!$U$2:$U$191,"Cost-Effective")</f>
        <v>1</v>
      </c>
      <c r="F4" s="80">
        <f>COUNTIFS('studies (AP)'!$I$2:$I$191,A4,'studies (AP)'!$J$2:$J$191,B4,'studies (AP)'!$U$2:$U$191,"Not Cost-Effective")</f>
        <v>5</v>
      </c>
      <c r="G4" s="81">
        <f t="shared" ref="G4:G8" si="0">E4/$D4</f>
        <v>0.16666666666666666</v>
      </c>
      <c r="H4" s="78">
        <f>COUNTIFS('studies (AP)'!$I$2:$I$191,A4,'studies (AP)'!$J$2:$J$191,B4,'studies (AP)'!$V$2:$V$191,"Cost-Effective")</f>
        <v>3</v>
      </c>
      <c r="I4" s="78">
        <f>COUNTIFS('studies (AP)'!$I$2:$I$191,A4,'studies (AP)'!$J$2:$J$191,B4,'studies (AP)'!$V$2:$V$191,"Not Cost-Effective")</f>
        <v>3</v>
      </c>
      <c r="J4" s="79">
        <f t="shared" ref="J4:J8" si="1">H4/$D4</f>
        <v>0.5</v>
      </c>
      <c r="K4" s="86">
        <f>COUNTIFS('studies (AP)'!$I$2:$I$191,A4,'studies (AP)'!$J$2:$J$191,B4,'studies (AP)'!$AG$2:$AG$191,"Cost-Effective")+COUNTIFS('studies (AP)'!$I$2:$I$191,A4,'studies (AP)'!$J$2:$J$191,B4,'studies (AP)'!$AG$2:$AG$191,"Cost-Saving")</f>
        <v>3</v>
      </c>
      <c r="L4" s="86">
        <f>COUNTIFS('studies (AP)'!$I$2:$I$191,A4,'studies (AP)'!$J$2:$J$191,B4,'studies (AP)'!$AG$2:$AG$191,"Not Cost-Effective")</f>
        <v>3</v>
      </c>
      <c r="M4" s="86">
        <f>COUNTIFS('studies (AP)'!$I$2:$I$191,A4,'studies (AP)'!$J$2:$J$191,B4,'studies (AP)'!$AG$2:$AG$191,"No Threshold")</f>
        <v>0</v>
      </c>
      <c r="N4" s="87">
        <f t="shared" ref="N4:N8" si="2">K4/$D4</f>
        <v>0.5</v>
      </c>
      <c r="O4" s="82">
        <f>COUNTIFS('studies (AP)'!$I$2:$I$191,A4,'studies (AP)'!$J$2:$J$191,B4,'studies (AP)'!$Y$2:$Y$191,"Cost-Effective")</f>
        <v>1</v>
      </c>
      <c r="P4" s="82">
        <f>COUNTIFS('studies (AP)'!$I$2:$I$191,A4,'studies (AP)'!$J$2:$J$191,B4,'studies (AP)'!$Y$2:$Y$191,"Not Cost-Effective")</f>
        <v>5</v>
      </c>
      <c r="Q4" s="82">
        <f>COUNTIFS('studies (AP)'!$I$2:$I$191,A4,'studies (AP)'!$J$2:$J$191,B4,'studies (AP)'!$Y$2:$Y$191,"No Threshold")</f>
        <v>0</v>
      </c>
      <c r="R4" s="83">
        <f t="shared" ref="R4:R8" si="3">O4/$D4</f>
        <v>0.16666666666666666</v>
      </c>
      <c r="S4" s="82">
        <f>COUNTIFS('studies (AP)'!$I$2:$I$191,A4,'studies (AP)'!$J$2:$J$191,B4,'studies (AP)'!$AA$2:$AA$191,"Cost-Effective")</f>
        <v>1</v>
      </c>
      <c r="T4" s="82">
        <f>COUNTIFS('studies (AP)'!$I$2:$I$191,A4,'studies (AP)'!$J$2:$J$191,B4,'studies (AP)'!$AA$2:$AA$191,"Not Cost-Effective")</f>
        <v>5</v>
      </c>
      <c r="U4" s="82">
        <f>COUNTIFS('studies (AP)'!$I$2:$I$191,A4,'studies (AP)'!$J$2:$J$191,B4,'studies (AP)'!$AA$2:$AA$191,"No Threshold")</f>
        <v>0</v>
      </c>
      <c r="V4" s="83">
        <f t="shared" ref="V4:V8" si="4">S4/$D4</f>
        <v>0.16666666666666666</v>
      </c>
      <c r="W4" s="84">
        <f>COUNTIFS('studies (AP)'!$I$2:$I$191,A4,'studies (AP)'!$J$2:$J$191,B4,'studies (AP)'!$AC$2:$AC$191,"Cost-Effective")</f>
        <v>1</v>
      </c>
      <c r="X4" s="84">
        <f>COUNTIFS('studies (AP)'!$I$2:$I$191,A4,'studies (AP)'!$J$2:$J$191,B4,'studies (AP)'!$AC$2:$AC$191,"Not Cost-Effective")</f>
        <v>5</v>
      </c>
      <c r="Y4" s="84">
        <f>COUNTIFS('studies (AP)'!$I$2:$I$191,A4,'studies (AP)'!$J$2:$J$191,B4,'studies (AP)'!$AC$2:$AC$191,"No Threshold")</f>
        <v>0</v>
      </c>
      <c r="Z4" s="85">
        <f t="shared" ref="Z4:Z8" si="5">W4/$D4</f>
        <v>0.16666666666666666</v>
      </c>
      <c r="AA4" s="84">
        <f>COUNTIFS('studies (AP)'!$I$2:$I$191,A4,'studies (AP)'!$J$2:$J$191,B4,'studies (AP)'!$AE$2:$AE$191,"Cost-Effective")</f>
        <v>0</v>
      </c>
      <c r="AB4" s="84">
        <f>COUNTIFS('studies (AP)'!$I$2:$I$191,A4,'studies (AP)'!$J$2:$J$191,B4,'studies (AP)'!$AE$2:$AE$191,"Not Cost-Effective")</f>
        <v>6</v>
      </c>
      <c r="AC4" s="84">
        <f>COUNTIFS('studies (AP)'!$I$2:$I$191,A4,'studies (AP)'!$J$2:$J$191,B4,'studies (AP)'!$AE$2:$AE$191,"No Threshold")</f>
        <v>0</v>
      </c>
      <c r="AD4" s="85">
        <f t="shared" ref="AD4:AD8" si="6">AA4/$D4</f>
        <v>0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COUNTIFS('studies (AP)'!$I$2:$I$191,A5,'studies (AP)'!$J$2:$J$191,B5)</f>
        <v>19</v>
      </c>
      <c r="E5" s="80">
        <f>COUNTIFS('studies (AP)'!$I$2:$I$191,A5,'studies (AP)'!$J$2:$J$191,B5,'studies (AP)'!$U$2:$U$191,"Cost-Effective")</f>
        <v>10</v>
      </c>
      <c r="F5" s="80">
        <f>COUNTIFS('studies (AP)'!$I$2:$I$191,A5,'studies (AP)'!$J$2:$J$191,B5,'studies (AP)'!$U$2:$U$191,"Not Cost-Effective")</f>
        <v>9</v>
      </c>
      <c r="G5" s="81">
        <f t="shared" si="0"/>
        <v>0.52631578947368418</v>
      </c>
      <c r="H5" s="78">
        <f>COUNTIFS('studies (AP)'!$I$2:$I$191,A5,'studies (AP)'!$J$2:$J$191,B5,'studies (AP)'!$V$2:$V$191,"Cost-Effective")</f>
        <v>15</v>
      </c>
      <c r="I5" s="78">
        <f>COUNTIFS('studies (AP)'!$I$2:$I$191,A5,'studies (AP)'!$J$2:$J$191,B5,'studies (AP)'!$V$2:$V$191,"Not Cost-Effective")</f>
        <v>4</v>
      </c>
      <c r="J5" s="79">
        <f t="shared" si="1"/>
        <v>0.78947368421052633</v>
      </c>
      <c r="K5" s="86">
        <f>COUNTIFS('studies (AP)'!$I$2:$I$191,A5,'studies (AP)'!$J$2:$J$191,B5,'studies (AP)'!$AG$2:$AG$191,"Cost-Effective")+COUNTIFS('studies (AP)'!$I$2:$I$191,A5,'studies (AP)'!$J$2:$J$191,B5,'studies (AP)'!$AG$2:$AG$191,"Cost-Saving")</f>
        <v>11</v>
      </c>
      <c r="L5" s="86">
        <f>COUNTIFS('studies (AP)'!$I$2:$I$191,A5,'studies (AP)'!$J$2:$J$191,B5,'studies (AP)'!$AG$2:$AG$191,"Not Cost-Effective")</f>
        <v>8</v>
      </c>
      <c r="M5" s="86">
        <f>COUNTIFS('studies (AP)'!$I$2:$I$191,A5,'studies (AP)'!$J$2:$J$191,B5,'studies (AP)'!$AG$2:$AG$191,"No Threshold")</f>
        <v>0</v>
      </c>
      <c r="N5" s="87">
        <f t="shared" si="2"/>
        <v>0.57894736842105265</v>
      </c>
      <c r="O5" s="82">
        <f>COUNTIFS('studies (AP)'!$I$2:$I$191,A5,'studies (AP)'!$J$2:$J$191,B5,'studies (AP)'!$Y$2:$Y$191,"Cost-Effective")</f>
        <v>4</v>
      </c>
      <c r="P5" s="82">
        <f>COUNTIFS('studies (AP)'!$I$2:$I$191,A5,'studies (AP)'!$J$2:$J$191,B5,'studies (AP)'!$Y$2:$Y$191,"Not Cost-Effective")</f>
        <v>14</v>
      </c>
      <c r="Q5" s="82">
        <f>COUNTIFS('studies (AP)'!$I$2:$I$191,A5,'studies (AP)'!$J$2:$J$191,B5,'studies (AP)'!$Y$2:$Y$191,"No Threshold")</f>
        <v>1</v>
      </c>
      <c r="R5" s="83">
        <f t="shared" si="3"/>
        <v>0.21052631578947367</v>
      </c>
      <c r="S5" s="82">
        <f>COUNTIFS('studies (AP)'!$I$2:$I$191,A5,'studies (AP)'!$J$2:$J$191,B5,'studies (AP)'!$AA$2:$AA$191,"Cost-Effective")</f>
        <v>2</v>
      </c>
      <c r="T5" s="82">
        <f>COUNTIFS('studies (AP)'!$I$2:$I$191,A5,'studies (AP)'!$J$2:$J$191,B5,'studies (AP)'!$AA$2:$AA$191,"Not Cost-Effective")</f>
        <v>16</v>
      </c>
      <c r="U5" s="82">
        <f>COUNTIFS('studies (AP)'!$I$2:$I$191,A5,'studies (AP)'!$J$2:$J$191,B5,'studies (AP)'!$AA$2:$AA$191,"No Threshold")</f>
        <v>1</v>
      </c>
      <c r="V5" s="83">
        <f t="shared" si="4"/>
        <v>0.10526315789473684</v>
      </c>
      <c r="W5" s="84">
        <f>COUNTIFS('studies (AP)'!$I$2:$I$191,A5,'studies (AP)'!$J$2:$J$191,B5,'studies (AP)'!$AC$2:$AC$191,"Cost-Effective")</f>
        <v>6</v>
      </c>
      <c r="X5" s="84">
        <f>COUNTIFS('studies (AP)'!$I$2:$I$191,A5,'studies (AP)'!$J$2:$J$191,B5,'studies (AP)'!$AC$2:$AC$191,"Not Cost-Effective")</f>
        <v>13</v>
      </c>
      <c r="Y5" s="84">
        <f>COUNTIFS('studies (AP)'!$I$2:$I$191,A5,'studies (AP)'!$J$2:$J$191,B5,'studies (AP)'!$AC$2:$AC$191,"No Threshold")</f>
        <v>0</v>
      </c>
      <c r="Z5" s="85">
        <f t="shared" si="5"/>
        <v>0.31578947368421051</v>
      </c>
      <c r="AA5" s="84">
        <f>COUNTIFS('studies (AP)'!$I$2:$I$191,A5,'studies (AP)'!$J$2:$J$191,B5,'studies (AP)'!$AE$2:$AE$191,"Cost-Effective")</f>
        <v>3</v>
      </c>
      <c r="AB5" s="84">
        <f>COUNTIFS('studies (AP)'!$I$2:$I$191,A5,'studies (AP)'!$J$2:$J$191,B5,'studies (AP)'!$AE$2:$AE$191,"Not Cost-Effective")</f>
        <v>16</v>
      </c>
      <c r="AC5" s="84">
        <f>COUNTIFS('studies (AP)'!$I$2:$I$191,A5,'studies (AP)'!$J$2:$J$191,B5,'studies (AP)'!$AE$2:$AE$191,"No Threshold")</f>
        <v>0</v>
      </c>
      <c r="AD5" s="85">
        <f t="shared" si="6"/>
        <v>0.15789473684210525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COUNTIFS('studies (AP)'!$I$2:$I$191,A6,'studies (AP)'!$J$2:$J$191,B6)</f>
        <v>41</v>
      </c>
      <c r="E6" s="80">
        <f>COUNTIFS('studies (AP)'!$I$2:$I$191,A6,'studies (AP)'!$J$2:$J$191,B6,'studies (AP)'!$U$2:$U$191,"Cost-Effective")</f>
        <v>28</v>
      </c>
      <c r="F6" s="80">
        <f>COUNTIFS('studies (AP)'!$I$2:$I$191,A6,'studies (AP)'!$J$2:$J$191,B6,'studies (AP)'!$U$2:$U$191,"Not Cost-Effective")</f>
        <v>13</v>
      </c>
      <c r="G6" s="81">
        <f t="shared" si="0"/>
        <v>0.68292682926829273</v>
      </c>
      <c r="H6" s="78">
        <f>COUNTIFS('studies (AP)'!$I$2:$I$191,A6,'studies (AP)'!$J$2:$J$191,B6,'studies (AP)'!$V$2:$V$191,"Cost-Effective")</f>
        <v>36</v>
      </c>
      <c r="I6" s="78">
        <f>COUNTIFS('studies (AP)'!$I$2:$I$191,A6,'studies (AP)'!$J$2:$J$191,B6,'studies (AP)'!$V$2:$V$191,"Not Cost-Effective")</f>
        <v>5</v>
      </c>
      <c r="J6" s="79">
        <f t="shared" si="1"/>
        <v>0.87804878048780488</v>
      </c>
      <c r="K6" s="86">
        <f>COUNTIFS('studies (AP)'!$I$2:$I$191,A6,'studies (AP)'!$J$2:$J$191,B6,'studies (AP)'!$AG$2:$AG$191,"Cost-Effective")+COUNTIFS('studies (AP)'!$I$2:$I$191,A6,'studies (AP)'!$J$2:$J$191,B6,'studies (AP)'!$AG$2:$AG$191,"Cost-Saving")</f>
        <v>34</v>
      </c>
      <c r="L6" s="86">
        <f>COUNTIFS('studies (AP)'!$I$2:$I$191,A6,'studies (AP)'!$J$2:$J$191,B6,'studies (AP)'!$AG$2:$AG$191,"Not Cost-Effective")</f>
        <v>7</v>
      </c>
      <c r="M6" s="86">
        <f>COUNTIFS('studies (AP)'!$I$2:$I$191,A6,'studies (AP)'!$J$2:$J$191,B6,'studies (AP)'!$AG$2:$AG$191,"No Threshold")</f>
        <v>0</v>
      </c>
      <c r="N6" s="87">
        <f t="shared" si="2"/>
        <v>0.82926829268292679</v>
      </c>
      <c r="O6" s="82">
        <f>COUNTIFS('studies (AP)'!$I$2:$I$191,A6,'studies (AP)'!$J$2:$J$191,B6,'studies (AP)'!$Y$2:$Y$191,"Cost-Effective")</f>
        <v>22</v>
      </c>
      <c r="P6" s="82">
        <f>COUNTIFS('studies (AP)'!$I$2:$I$191,A6,'studies (AP)'!$J$2:$J$191,B6,'studies (AP)'!$Y$2:$Y$191,"Not Cost-Effective")</f>
        <v>18</v>
      </c>
      <c r="Q6" s="82">
        <f>COUNTIFS('studies (AP)'!$I$2:$I$191,A6,'studies (AP)'!$J$2:$J$191,B6,'studies (AP)'!$Y$2:$Y$191,"No Threshold")</f>
        <v>1</v>
      </c>
      <c r="R6" s="83">
        <f t="shared" si="3"/>
        <v>0.53658536585365857</v>
      </c>
      <c r="S6" s="82">
        <f>COUNTIFS('studies (AP)'!$I$2:$I$191,A6,'studies (AP)'!$J$2:$J$191,B6,'studies (AP)'!$AA$2:$AA$191,"Cost-Effective")</f>
        <v>19</v>
      </c>
      <c r="T6" s="82">
        <f>COUNTIFS('studies (AP)'!$I$2:$I$191,A6,'studies (AP)'!$J$2:$J$191,B6,'studies (AP)'!$AA$2:$AA$191,"Not Cost-Effective")</f>
        <v>21</v>
      </c>
      <c r="U6" s="82">
        <f>COUNTIFS('studies (AP)'!$I$2:$I$191,A6,'studies (AP)'!$J$2:$J$191,B6,'studies (AP)'!$AA$2:$AA$191,"No Threshold")</f>
        <v>1</v>
      </c>
      <c r="V6" s="83">
        <f t="shared" si="4"/>
        <v>0.46341463414634149</v>
      </c>
      <c r="W6" s="84">
        <f>COUNTIFS('studies (AP)'!$I$2:$I$191,A6,'studies (AP)'!$J$2:$J$191,B6,'studies (AP)'!$AC$2:$AC$191,"Cost-Effective")</f>
        <v>26</v>
      </c>
      <c r="X6" s="84">
        <f>COUNTIFS('studies (AP)'!$I$2:$I$191,A6,'studies (AP)'!$J$2:$J$191,B6,'studies (AP)'!$AC$2:$AC$191,"Not Cost-Effective")</f>
        <v>15</v>
      </c>
      <c r="Y6" s="84">
        <f>COUNTIFS('studies (AP)'!$I$2:$I$191,A6,'studies (AP)'!$J$2:$J$191,B6,'studies (AP)'!$AC$2:$AC$191,"No Threshold")</f>
        <v>0</v>
      </c>
      <c r="Z6" s="85">
        <f t="shared" si="5"/>
        <v>0.63414634146341464</v>
      </c>
      <c r="AA6" s="84">
        <f>COUNTIFS('studies (AP)'!$I$2:$I$191,A6,'studies (AP)'!$J$2:$J$191,B6,'studies (AP)'!$AE$2:$AE$191,"Cost-Effective")</f>
        <v>12</v>
      </c>
      <c r="AB6" s="84">
        <f>COUNTIFS('studies (AP)'!$I$2:$I$191,A6,'studies (AP)'!$J$2:$J$191,B6,'studies (AP)'!$AE$2:$AE$191,"Not Cost-Effective")</f>
        <v>29</v>
      </c>
      <c r="AC6" s="84">
        <f>COUNTIFS('studies (AP)'!$I$2:$I$191,A6,'studies (AP)'!$J$2:$J$191,B6,'studies (AP)'!$AE$2:$AE$191,"No Threshold")</f>
        <v>0</v>
      </c>
      <c r="AD6" s="85">
        <f t="shared" si="6"/>
        <v>0.29268292682926828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COUNTIFS('studies (AP)'!$I$2:$I$191,A7,'studies (AP)'!$J$2:$J$191,B7)</f>
        <v>9</v>
      </c>
      <c r="E7" s="80">
        <f>COUNTIFS('studies (AP)'!$I$2:$I$191,A7,'studies (AP)'!$J$2:$J$191,B7,'studies (AP)'!$U$2:$U$191,"Cost-Effective")</f>
        <v>6</v>
      </c>
      <c r="F7" s="80">
        <f>COUNTIFS('studies (AP)'!$I$2:$I$191,A7,'studies (AP)'!$J$2:$J$191,B7,'studies (AP)'!$U$2:$U$191,"Not Cost-Effective")</f>
        <v>3</v>
      </c>
      <c r="G7" s="81">
        <f t="shared" si="0"/>
        <v>0.66666666666666663</v>
      </c>
      <c r="H7" s="78">
        <f>COUNTIFS('studies (AP)'!$I$2:$I$191,A7,'studies (AP)'!$J$2:$J$191,B7,'studies (AP)'!$V$2:$V$191,"Cost-Effective")</f>
        <v>7</v>
      </c>
      <c r="I7" s="78">
        <f>COUNTIFS('studies (AP)'!$I$2:$I$191,A7,'studies (AP)'!$J$2:$J$191,B7,'studies (AP)'!$V$2:$V$191,"Not Cost-Effective")</f>
        <v>2</v>
      </c>
      <c r="J7" s="79">
        <f t="shared" si="1"/>
        <v>0.77777777777777779</v>
      </c>
      <c r="K7" s="86">
        <f>COUNTIFS('studies (AP)'!$I$2:$I$191,A7,'studies (AP)'!$J$2:$J$191,B7,'studies (AP)'!$AG$2:$AG$191,"Cost-Effective")+COUNTIFS('studies (AP)'!$I$2:$I$191,A7,'studies (AP)'!$J$2:$J$191,B7,'studies (AP)'!$AG$2:$AG$191,"Cost-Saving")</f>
        <v>9</v>
      </c>
      <c r="L7" s="86">
        <f>COUNTIFS('studies (AP)'!$I$2:$I$191,A7,'studies (AP)'!$J$2:$J$191,B7,'studies (AP)'!$AG$2:$AG$191,"Not Cost-Effective")</f>
        <v>0</v>
      </c>
      <c r="M7" s="86">
        <f>COUNTIFS('studies (AP)'!$I$2:$I$191,A7,'studies (AP)'!$J$2:$J$191,B7,'studies (AP)'!$AG$2:$AG$191,"No Threshold")</f>
        <v>0</v>
      </c>
      <c r="N7" s="87">
        <f t="shared" si="2"/>
        <v>1</v>
      </c>
      <c r="O7" s="82">
        <f>COUNTIFS('studies (AP)'!$I$2:$I$191,A7,'studies (AP)'!$J$2:$J$191,B7,'studies (AP)'!$Y$2:$Y$191,"Cost-Effective")</f>
        <v>5</v>
      </c>
      <c r="P7" s="82">
        <f>COUNTIFS('studies (AP)'!$I$2:$I$191,A7,'studies (AP)'!$J$2:$J$191,B7,'studies (AP)'!$Y$2:$Y$191,"Not Cost-Effective")</f>
        <v>3</v>
      </c>
      <c r="Q7" s="82">
        <f>COUNTIFS('studies (AP)'!$I$2:$I$191,A7,'studies (AP)'!$J$2:$J$191,B7,'studies (AP)'!$Y$2:$Y$191,"No Threshold")</f>
        <v>1</v>
      </c>
      <c r="R7" s="83">
        <f t="shared" si="3"/>
        <v>0.55555555555555558</v>
      </c>
      <c r="S7" s="82">
        <f>COUNTIFS('studies (AP)'!$I$2:$I$191,A7,'studies (AP)'!$J$2:$J$191,B7,'studies (AP)'!$AA$2:$AA$191,"Cost-Effective")</f>
        <v>5</v>
      </c>
      <c r="T7" s="82">
        <f>COUNTIFS('studies (AP)'!$I$2:$I$191,A7,'studies (AP)'!$J$2:$J$191,B7,'studies (AP)'!$AA$2:$AA$191,"Not Cost-Effective")</f>
        <v>3</v>
      </c>
      <c r="U7" s="82">
        <f>COUNTIFS('studies (AP)'!$I$2:$I$191,A7,'studies (AP)'!$J$2:$J$191,B7,'studies (AP)'!$AA$2:$AA$191,"No Threshold")</f>
        <v>1</v>
      </c>
      <c r="V7" s="83">
        <f t="shared" si="4"/>
        <v>0.55555555555555558</v>
      </c>
      <c r="W7" s="84">
        <f>COUNTIFS('studies (AP)'!$I$2:$I$191,A7,'studies (AP)'!$J$2:$J$191,B7,'studies (AP)'!$AC$2:$AC$191,"Cost-Effective")</f>
        <v>6</v>
      </c>
      <c r="X7" s="84">
        <f>COUNTIFS('studies (AP)'!$I$2:$I$191,A7,'studies (AP)'!$J$2:$J$191,B7,'studies (AP)'!$AC$2:$AC$191,"Not Cost-Effective")</f>
        <v>3</v>
      </c>
      <c r="Y7" s="84">
        <f>COUNTIFS('studies (AP)'!$I$2:$I$191,A7,'studies (AP)'!$J$2:$J$191,B7,'studies (AP)'!$AC$2:$AC$191,"No Threshold")</f>
        <v>0</v>
      </c>
      <c r="Z7" s="85">
        <f t="shared" si="5"/>
        <v>0.66666666666666663</v>
      </c>
      <c r="AA7" s="84">
        <f>COUNTIFS('studies (AP)'!$I$2:$I$191,A7,'studies (AP)'!$J$2:$J$191,B7,'studies (AP)'!$AE$2:$AE$191,"Cost-Effective")</f>
        <v>4</v>
      </c>
      <c r="AB7" s="84">
        <f>COUNTIFS('studies (AP)'!$I$2:$I$191,A7,'studies (AP)'!$J$2:$J$191,B7,'studies (AP)'!$AE$2:$AE$191,"Not Cost-Effective")</f>
        <v>5</v>
      </c>
      <c r="AC7" s="84">
        <f>COUNTIFS('studies (AP)'!$I$2:$I$191,A7,'studies (AP)'!$J$2:$J$191,B7,'studies (AP)'!$AE$2:$AE$191,"No Threshold")</f>
        <v>0</v>
      </c>
      <c r="AD7" s="85">
        <f t="shared" si="6"/>
        <v>0.44444444444444442</v>
      </c>
    </row>
    <row r="8" spans="1:34">
      <c r="C8" s="1" t="s">
        <v>652</v>
      </c>
      <c r="D8" s="27">
        <f>SUM(D4:D7)</f>
        <v>75</v>
      </c>
      <c r="E8" s="88">
        <f>SUM(E4:E7)</f>
        <v>45</v>
      </c>
      <c r="F8" s="88">
        <f>SUM(F4:F7)</f>
        <v>30</v>
      </c>
      <c r="G8" s="89">
        <f t="shared" si="0"/>
        <v>0.6</v>
      </c>
      <c r="H8" s="90">
        <f>SUM(H4:H7)</f>
        <v>61</v>
      </c>
      <c r="I8" s="90">
        <f>SUM(I4:I7)</f>
        <v>14</v>
      </c>
      <c r="J8" s="91">
        <f t="shared" si="1"/>
        <v>0.81333333333333335</v>
      </c>
      <c r="K8" s="96">
        <f>SUM(K4:K7)</f>
        <v>57</v>
      </c>
      <c r="L8" s="96">
        <f>SUM(L4:L7)</f>
        <v>18</v>
      </c>
      <c r="M8" s="96">
        <f>SUM(M4:M7)</f>
        <v>0</v>
      </c>
      <c r="N8" s="97">
        <f t="shared" si="2"/>
        <v>0.76</v>
      </c>
      <c r="O8" s="92">
        <f>SUM(O4:O7)</f>
        <v>32</v>
      </c>
      <c r="P8" s="92">
        <f>SUM(P4:P7)</f>
        <v>40</v>
      </c>
      <c r="Q8" s="92">
        <f>SUM(Q4:Q7)</f>
        <v>3</v>
      </c>
      <c r="R8" s="93">
        <f t="shared" si="3"/>
        <v>0.42666666666666669</v>
      </c>
      <c r="S8" s="92">
        <f>SUM(S4:S7)</f>
        <v>27</v>
      </c>
      <c r="T8" s="92">
        <f>SUM(T4:T7)</f>
        <v>45</v>
      </c>
      <c r="U8" s="92">
        <f>SUM(U4:U7)</f>
        <v>3</v>
      </c>
      <c r="V8" s="93">
        <f t="shared" si="4"/>
        <v>0.36</v>
      </c>
      <c r="W8" s="94">
        <f>SUM(W4:W7)</f>
        <v>39</v>
      </c>
      <c r="X8" s="94">
        <f>SUM(X4:X7)</f>
        <v>36</v>
      </c>
      <c r="Y8" s="94">
        <f>SUM(Y4:Y7)</f>
        <v>0</v>
      </c>
      <c r="Z8" s="95">
        <f t="shared" si="5"/>
        <v>0.52</v>
      </c>
      <c r="AA8" s="94">
        <f>SUM(AA4:AA7)</f>
        <v>19</v>
      </c>
      <c r="AB8" s="94">
        <f>SUM(AB4:AB7)</f>
        <v>56</v>
      </c>
      <c r="AC8" s="94">
        <f>SUM(AC4:AC7)</f>
        <v>0</v>
      </c>
      <c r="AD8" s="95">
        <f t="shared" si="6"/>
        <v>0.25333333333333335</v>
      </c>
    </row>
    <row r="9" spans="1:34">
      <c r="K9" s="28"/>
      <c r="L9" s="28"/>
      <c r="M9" s="28"/>
      <c r="R9" s="23"/>
      <c r="V9" s="23"/>
      <c r="Z9" s="23"/>
      <c r="AD9" s="23"/>
    </row>
    <row r="10" spans="1:34">
      <c r="K10" s="28"/>
      <c r="L10" s="28"/>
      <c r="M10" s="28"/>
      <c r="R10" s="23"/>
      <c r="V10" s="23"/>
      <c r="Z10" s="23"/>
      <c r="AD10" s="23"/>
    </row>
    <row r="11" spans="1:34">
      <c r="G11" s="208"/>
      <c r="H11" s="208"/>
      <c r="I11" s="58"/>
      <c r="P11" s="58"/>
      <c r="Q11" s="58"/>
      <c r="T11" s="58"/>
      <c r="U11" s="58"/>
      <c r="Z11" s="23"/>
      <c r="AD11" s="23"/>
    </row>
    <row r="12" spans="1:34">
      <c r="K12" s="28"/>
      <c r="L12" s="28"/>
      <c r="M12" s="28"/>
      <c r="Z12" s="23"/>
      <c r="AD12" s="23"/>
    </row>
    <row r="14" spans="1:34" ht="12.75" customHeight="1">
      <c r="C14" s="104"/>
      <c r="D14" s="204" t="s">
        <v>949</v>
      </c>
      <c r="E14" s="209"/>
      <c r="F14" s="205"/>
      <c r="H14" s="204" t="s">
        <v>950</v>
      </c>
      <c r="I14" s="209"/>
      <c r="J14" s="209"/>
      <c r="K14" s="209"/>
      <c r="L14" s="205"/>
      <c r="N14" s="204" t="s">
        <v>951</v>
      </c>
      <c r="O14" s="209"/>
      <c r="P14" s="209"/>
      <c r="Q14" s="209"/>
      <c r="R14" s="205"/>
    </row>
    <row r="15" spans="1:34" ht="13" customHeight="1">
      <c r="C15" s="104"/>
      <c r="D15" s="109"/>
      <c r="E15" s="105"/>
      <c r="F15" s="105"/>
      <c r="H15" s="206" t="s">
        <v>952</v>
      </c>
      <c r="I15" s="204" t="s">
        <v>954</v>
      </c>
      <c r="J15" s="205"/>
      <c r="K15" s="204" t="s">
        <v>953</v>
      </c>
      <c r="L15" s="205"/>
      <c r="N15" s="105"/>
      <c r="O15" s="204" t="s">
        <v>954</v>
      </c>
      <c r="P15" s="205"/>
      <c r="Q15" s="204" t="s">
        <v>953</v>
      </c>
      <c r="R15" s="205"/>
    </row>
    <row r="16" spans="1:34" ht="28">
      <c r="C16" s="106" t="s">
        <v>946</v>
      </c>
      <c r="D16" s="109" t="s">
        <v>952</v>
      </c>
      <c r="E16" s="107" t="s">
        <v>11</v>
      </c>
      <c r="F16" s="107" t="s">
        <v>947</v>
      </c>
      <c r="H16" s="207"/>
      <c r="I16" s="107" t="s">
        <v>11</v>
      </c>
      <c r="J16" s="107" t="s">
        <v>947</v>
      </c>
      <c r="K16" s="107" t="s">
        <v>11</v>
      </c>
      <c r="L16" s="107" t="s">
        <v>947</v>
      </c>
      <c r="N16" s="107" t="s">
        <v>952</v>
      </c>
      <c r="O16" s="107" t="s">
        <v>11</v>
      </c>
      <c r="P16" s="107" t="s">
        <v>947</v>
      </c>
      <c r="Q16" s="107" t="s">
        <v>11</v>
      </c>
      <c r="R16" s="107" t="s">
        <v>947</v>
      </c>
    </row>
    <row r="17" spans="3:18">
      <c r="C17" s="104" t="s">
        <v>149</v>
      </c>
      <c r="D17" s="104">
        <f>SUM(K4:L4)</f>
        <v>6</v>
      </c>
      <c r="E17" s="104">
        <f>K4</f>
        <v>3</v>
      </c>
      <c r="F17" s="108">
        <f t="shared" ref="F17:F21" si="7">E17/D17</f>
        <v>0.5</v>
      </c>
      <c r="H17" s="104">
        <f>SUM(O4:P4)</f>
        <v>6</v>
      </c>
      <c r="I17" s="104">
        <f>O4</f>
        <v>1</v>
      </c>
      <c r="J17" s="108">
        <f t="shared" ref="J17:J21" si="8">I17/H17</f>
        <v>0.16666666666666666</v>
      </c>
      <c r="K17" s="104">
        <f>S4</f>
        <v>1</v>
      </c>
      <c r="L17" s="108">
        <f t="shared" ref="L17:L21" si="9">K17/H17</f>
        <v>0.16666666666666666</v>
      </c>
      <c r="N17" s="104">
        <f>SUM(W4:X4)</f>
        <v>6</v>
      </c>
      <c r="O17" s="104">
        <f>W4</f>
        <v>1</v>
      </c>
      <c r="P17" s="108">
        <f t="shared" ref="P17:P21" si="10">O17/N17</f>
        <v>0.16666666666666666</v>
      </c>
      <c r="Q17" s="104">
        <f>AA4</f>
        <v>0</v>
      </c>
      <c r="R17" s="108">
        <f t="shared" ref="R17:R21" si="11">Q17/N17</f>
        <v>0</v>
      </c>
    </row>
    <row r="18" spans="3:18">
      <c r="C18" s="104" t="s">
        <v>352</v>
      </c>
      <c r="D18" s="104">
        <f>SUM(K5:L5)</f>
        <v>19</v>
      </c>
      <c r="E18" s="104">
        <f>K5</f>
        <v>11</v>
      </c>
      <c r="F18" s="108">
        <f t="shared" si="7"/>
        <v>0.57894736842105265</v>
      </c>
      <c r="H18" s="104">
        <f>SUM(O5:P5)</f>
        <v>18</v>
      </c>
      <c r="I18" s="104">
        <f>O5</f>
        <v>4</v>
      </c>
      <c r="J18" s="108">
        <f t="shared" si="8"/>
        <v>0.22222222222222221</v>
      </c>
      <c r="K18" s="104">
        <f>S5</f>
        <v>2</v>
      </c>
      <c r="L18" s="108">
        <f t="shared" si="9"/>
        <v>0.1111111111111111</v>
      </c>
      <c r="N18" s="104">
        <f>SUM(W5:X5)</f>
        <v>19</v>
      </c>
      <c r="O18" s="104">
        <f>W5</f>
        <v>6</v>
      </c>
      <c r="P18" s="108">
        <f t="shared" si="10"/>
        <v>0.31578947368421051</v>
      </c>
      <c r="Q18" s="104">
        <f>AA5</f>
        <v>3</v>
      </c>
      <c r="R18" s="108">
        <f t="shared" si="11"/>
        <v>0.15789473684210525</v>
      </c>
    </row>
    <row r="19" spans="3:18">
      <c r="C19" s="104" t="s">
        <v>353</v>
      </c>
      <c r="D19" s="104">
        <f>SUM(K6:L6)</f>
        <v>41</v>
      </c>
      <c r="E19" s="104">
        <f>K6</f>
        <v>34</v>
      </c>
      <c r="F19" s="108">
        <f t="shared" si="7"/>
        <v>0.82926829268292679</v>
      </c>
      <c r="H19" s="104">
        <f>SUM(O6:P6)</f>
        <v>40</v>
      </c>
      <c r="I19" s="104">
        <f>O6</f>
        <v>22</v>
      </c>
      <c r="J19" s="108">
        <f t="shared" si="8"/>
        <v>0.55000000000000004</v>
      </c>
      <c r="K19" s="104">
        <f>S6</f>
        <v>19</v>
      </c>
      <c r="L19" s="108">
        <f t="shared" si="9"/>
        <v>0.47499999999999998</v>
      </c>
      <c r="N19" s="104">
        <f>SUM(W6:X6)</f>
        <v>41</v>
      </c>
      <c r="O19" s="104">
        <f>W6</f>
        <v>26</v>
      </c>
      <c r="P19" s="108">
        <f t="shared" si="10"/>
        <v>0.63414634146341464</v>
      </c>
      <c r="Q19" s="104">
        <f>AA6</f>
        <v>12</v>
      </c>
      <c r="R19" s="108">
        <f t="shared" si="11"/>
        <v>0.29268292682926828</v>
      </c>
    </row>
    <row r="20" spans="3:18">
      <c r="C20" s="104" t="s">
        <v>371</v>
      </c>
      <c r="D20" s="104">
        <f>SUM(K7:L7)</f>
        <v>9</v>
      </c>
      <c r="E20" s="104">
        <f>K7</f>
        <v>9</v>
      </c>
      <c r="F20" s="108">
        <f t="shared" si="7"/>
        <v>1</v>
      </c>
      <c r="H20" s="104">
        <f>SUM(O7:P7)</f>
        <v>8</v>
      </c>
      <c r="I20" s="104">
        <f>O7</f>
        <v>5</v>
      </c>
      <c r="J20" s="108">
        <f t="shared" si="8"/>
        <v>0.625</v>
      </c>
      <c r="K20" s="104">
        <f>S7</f>
        <v>5</v>
      </c>
      <c r="L20" s="108">
        <f t="shared" si="9"/>
        <v>0.625</v>
      </c>
      <c r="N20" s="104">
        <f>SUM(W7:X7)</f>
        <v>9</v>
      </c>
      <c r="O20" s="104">
        <f>W7</f>
        <v>6</v>
      </c>
      <c r="P20" s="108">
        <f t="shared" si="10"/>
        <v>0.66666666666666663</v>
      </c>
      <c r="Q20" s="104">
        <f>AA7</f>
        <v>4</v>
      </c>
      <c r="R20" s="108">
        <f t="shared" si="11"/>
        <v>0.44444444444444442</v>
      </c>
    </row>
    <row r="21" spans="3:18">
      <c r="C21" s="106" t="s">
        <v>652</v>
      </c>
      <c r="D21" s="104">
        <f>SUM(D17:D20)</f>
        <v>75</v>
      </c>
      <c r="E21" s="104">
        <f>SUM(E17:E20)</f>
        <v>57</v>
      </c>
      <c r="F21" s="108">
        <f t="shared" si="7"/>
        <v>0.76</v>
      </c>
      <c r="H21" s="104">
        <f>SUM(H17:H20)</f>
        <v>72</v>
      </c>
      <c r="I21" s="104">
        <f>SUM(I17:I20)</f>
        <v>32</v>
      </c>
      <c r="J21" s="133">
        <f t="shared" si="8"/>
        <v>0.44444444444444442</v>
      </c>
      <c r="K21" s="104">
        <f>SUM(K17:K20)</f>
        <v>27</v>
      </c>
      <c r="L21" s="108">
        <f t="shared" si="9"/>
        <v>0.375</v>
      </c>
      <c r="N21" s="104">
        <f>SUM(N17:N20)</f>
        <v>75</v>
      </c>
      <c r="O21" s="104">
        <f>SUM(O17:O20)</f>
        <v>39</v>
      </c>
      <c r="P21" s="133">
        <f t="shared" si="10"/>
        <v>0.52</v>
      </c>
      <c r="Q21" s="104">
        <f>SUM(Q17:Q20)</f>
        <v>19</v>
      </c>
      <c r="R21" s="108">
        <f t="shared" si="11"/>
        <v>0.25333333333333335</v>
      </c>
    </row>
    <row r="25" spans="3:18" ht="36" customHeight="1">
      <c r="C25" s="200" t="s">
        <v>981</v>
      </c>
      <c r="D25" s="200"/>
      <c r="E25" s="200"/>
      <c r="F25" s="200"/>
      <c r="G25" s="200"/>
      <c r="H25" s="200"/>
      <c r="I25" s="200"/>
    </row>
    <row r="26" spans="3:18" ht="28.5" customHeight="1">
      <c r="C26" s="199" t="s">
        <v>946</v>
      </c>
      <c r="D26" s="203" t="s">
        <v>982</v>
      </c>
      <c r="E26" s="203" t="s">
        <v>960</v>
      </c>
      <c r="F26" s="203" t="s">
        <v>961</v>
      </c>
      <c r="G26" s="203"/>
      <c r="H26" s="203" t="s">
        <v>962</v>
      </c>
      <c r="I26" s="203"/>
      <c r="K26" s="1" t="s">
        <v>963</v>
      </c>
      <c r="O26" s="29" t="s">
        <v>964</v>
      </c>
    </row>
    <row r="27" spans="3:18" ht="26.25" customHeight="1">
      <c r="C27" s="199"/>
      <c r="D27" s="203"/>
      <c r="E27" s="203"/>
      <c r="F27" s="116" t="s">
        <v>965</v>
      </c>
      <c r="G27" s="116" t="s">
        <v>966</v>
      </c>
      <c r="H27" s="116" t="s">
        <v>965</v>
      </c>
      <c r="I27" s="116" t="s">
        <v>966</v>
      </c>
      <c r="K27" s="1" t="s">
        <v>174</v>
      </c>
      <c r="L27" s="1">
        <f>COUNTIF('studies (AP)'!$AG$2:$AG$191,K27)</f>
        <v>49</v>
      </c>
      <c r="M27" s="26">
        <f>L27/$L$31</f>
        <v>0.65333333333333332</v>
      </c>
      <c r="O27" s="1" t="s">
        <v>819</v>
      </c>
      <c r="P27" s="1">
        <f>COUNTIFS(data!$BE$2:$BE$191,O27,data!$B$2:$B$191,1)</f>
        <v>0</v>
      </c>
    </row>
    <row r="28" spans="3:18" ht="15">
      <c r="C28" s="117" t="s">
        <v>967</v>
      </c>
      <c r="D28" s="110">
        <f>D4</f>
        <v>6</v>
      </c>
      <c r="E28" s="111">
        <f>F17</f>
        <v>0.5</v>
      </c>
      <c r="F28" s="111">
        <f>J17</f>
        <v>0.16666666666666666</v>
      </c>
      <c r="G28" s="112">
        <f>L17</f>
        <v>0.16666666666666666</v>
      </c>
      <c r="H28" s="111">
        <f>P17</f>
        <v>0.16666666666666666</v>
      </c>
      <c r="I28" s="112">
        <f>R17</f>
        <v>0</v>
      </c>
      <c r="K28" s="1" t="s">
        <v>239</v>
      </c>
      <c r="L28" s="1">
        <f>COUNTIF('studies (AP)'!$AG$2:$AG$191,K28)</f>
        <v>8</v>
      </c>
      <c r="M28" s="26">
        <f t="shared" ref="M28:M30" si="12">L28/$L$31</f>
        <v>0.10666666666666667</v>
      </c>
      <c r="O28" s="29" t="s">
        <v>210</v>
      </c>
      <c r="P28" s="1">
        <f>COUNTIFS(data!$BE$2:$BE$191,O28,data!$B$2:$B$191,1)</f>
        <v>21</v>
      </c>
    </row>
    <row r="29" spans="3:18" ht="15">
      <c r="C29" s="117" t="s">
        <v>968</v>
      </c>
      <c r="D29" s="110">
        <f>D5</f>
        <v>19</v>
      </c>
      <c r="E29" s="111">
        <f>F18</f>
        <v>0.57894736842105265</v>
      </c>
      <c r="F29" s="111">
        <f>J18</f>
        <v>0.22222222222222221</v>
      </c>
      <c r="G29" s="112">
        <f>L18</f>
        <v>0.1111111111111111</v>
      </c>
      <c r="H29" s="111">
        <f>P18</f>
        <v>0.31578947368421051</v>
      </c>
      <c r="I29" s="112">
        <f>R18</f>
        <v>0.15789473684210525</v>
      </c>
      <c r="K29" s="1" t="s">
        <v>161</v>
      </c>
      <c r="L29" s="1">
        <f>COUNTIF('studies (AP)'!$AG$2:$AG$191,K29)</f>
        <v>18</v>
      </c>
      <c r="M29" s="26">
        <f t="shared" si="12"/>
        <v>0.24</v>
      </c>
      <c r="O29" s="29" t="s">
        <v>202</v>
      </c>
      <c r="P29" s="1">
        <f>COUNTIFS(data!$BE$2:$BE$191,O29,data!$B$2:$B$191,1)</f>
        <v>1</v>
      </c>
    </row>
    <row r="30" spans="3:18" ht="15">
      <c r="C30" s="117" t="s">
        <v>969</v>
      </c>
      <c r="D30" s="110">
        <f>D6</f>
        <v>41</v>
      </c>
      <c r="E30" s="111">
        <f>F19</f>
        <v>0.82926829268292679</v>
      </c>
      <c r="F30" s="111">
        <f>J19</f>
        <v>0.55000000000000004</v>
      </c>
      <c r="G30" s="112">
        <f>L19</f>
        <v>0.47499999999999998</v>
      </c>
      <c r="H30" s="111">
        <f>P19</f>
        <v>0.63414634146341464</v>
      </c>
      <c r="I30" s="112">
        <f>R19</f>
        <v>0.29268292682926828</v>
      </c>
      <c r="K30" s="1" t="s">
        <v>822</v>
      </c>
      <c r="L30" s="1">
        <f>COUNTIF('studies (AP)'!$AG$2:$AG$191,K30)</f>
        <v>0</v>
      </c>
      <c r="M30" s="26">
        <f t="shared" si="12"/>
        <v>0</v>
      </c>
      <c r="O30" s="29" t="s">
        <v>173</v>
      </c>
      <c r="P30" s="1">
        <f>COUNTIFS(data!$BE$2:$BE$191,O30,data!$B$2:$B$191,1)</f>
        <v>17</v>
      </c>
    </row>
    <row r="31" spans="3:18" ht="15">
      <c r="C31" s="117" t="s">
        <v>371</v>
      </c>
      <c r="D31" s="110">
        <f>D7</f>
        <v>9</v>
      </c>
      <c r="E31" s="111">
        <f>F20</f>
        <v>1</v>
      </c>
      <c r="F31" s="111">
        <f>J20</f>
        <v>0.625</v>
      </c>
      <c r="G31" s="112">
        <f>L20</f>
        <v>0.625</v>
      </c>
      <c r="H31" s="111">
        <f>P20</f>
        <v>0.66666666666666663</v>
      </c>
      <c r="I31" s="112">
        <f>R20</f>
        <v>0.44444444444444442</v>
      </c>
      <c r="L31" s="1">
        <f>SUM(L27:L30)</f>
        <v>75</v>
      </c>
      <c r="O31" s="29" t="s">
        <v>970</v>
      </c>
      <c r="P31" s="1">
        <f>MAX(data!A:A)-SUM(P27:P30)</f>
        <v>18</v>
      </c>
    </row>
    <row r="32" spans="3:18" ht="15">
      <c r="C32" s="118" t="s">
        <v>652</v>
      </c>
      <c r="D32" s="113">
        <f>SUM(D28:D31)</f>
        <v>75</v>
      </c>
      <c r="E32" s="114">
        <f>F21</f>
        <v>0.76</v>
      </c>
      <c r="F32" s="114">
        <f>J21</f>
        <v>0.44444444444444442</v>
      </c>
      <c r="G32" s="115">
        <f t="shared" ref="G32" si="13">L21</f>
        <v>0.375</v>
      </c>
      <c r="H32" s="114">
        <f t="shared" ref="H32" si="14">P21</f>
        <v>0.52</v>
      </c>
      <c r="I32" s="115">
        <f t="shared" ref="I32" si="15">R21</f>
        <v>0.25333333333333335</v>
      </c>
      <c r="M32" s="29"/>
    </row>
    <row r="33" spans="3:12" ht="57" customHeight="1">
      <c r="C33" s="201" t="s">
        <v>983</v>
      </c>
      <c r="D33" s="202"/>
      <c r="E33" s="202"/>
      <c r="F33" s="202"/>
      <c r="G33" s="202"/>
      <c r="H33" s="202"/>
      <c r="I33" s="202"/>
    </row>
    <row r="34" spans="3:12">
      <c r="K34" s="1" t="s">
        <v>984</v>
      </c>
    </row>
    <row r="35" spans="3:12">
      <c r="K35" s="1">
        <f>E21-I21</f>
        <v>25</v>
      </c>
      <c r="L35" s="1">
        <f>E21-O21</f>
        <v>18</v>
      </c>
    </row>
    <row r="36" spans="3:12">
      <c r="K36" s="7">
        <f>K35/E21</f>
        <v>0.43859649122807015</v>
      </c>
      <c r="L36" s="7">
        <f>L35/E21</f>
        <v>0.31578947368421051</v>
      </c>
    </row>
  </sheetData>
  <mergeCells count="23">
    <mergeCell ref="Q15:R15"/>
    <mergeCell ref="C25:I25"/>
    <mergeCell ref="AA2:AD2"/>
    <mergeCell ref="G11:H11"/>
    <mergeCell ref="D14:F14"/>
    <mergeCell ref="H14:L14"/>
    <mergeCell ref="N14:R14"/>
    <mergeCell ref="E2:G2"/>
    <mergeCell ref="H2:J2"/>
    <mergeCell ref="K2:N2"/>
    <mergeCell ref="O2:R2"/>
    <mergeCell ref="S2:V2"/>
    <mergeCell ref="W2:Z2"/>
    <mergeCell ref="C33:I33"/>
    <mergeCell ref="H15:H16"/>
    <mergeCell ref="I15:J15"/>
    <mergeCell ref="K15:L15"/>
    <mergeCell ref="O15:P15"/>
    <mergeCell ref="C26:C27"/>
    <mergeCell ref="D26:D27"/>
    <mergeCell ref="E26:E27"/>
    <mergeCell ref="F26:G26"/>
    <mergeCell ref="H26:I26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FBCB-6DC6-4A99-A131-383CE6A5D4A2}">
  <sheetPr codeName="Sheet10"/>
  <dimension ref="A1:AK184"/>
  <sheetViews>
    <sheetView topLeftCell="W1" zoomScale="130" zoomScaleNormal="130" workbookViewId="0">
      <pane ySplit="2" topLeftCell="A3" activePane="bottomLeft" state="frozen"/>
      <selection activeCell="Z64" sqref="Z64:AA184"/>
      <selection pane="bottomLeft" activeCell="AC19" sqref="AC19"/>
    </sheetView>
  </sheetViews>
  <sheetFormatPr baseColWidth="10" defaultColWidth="9.1640625" defaultRowHeight="15"/>
  <cols>
    <col min="1" max="1" width="22.1640625" style="141" bestFit="1" customWidth="1"/>
    <col min="2" max="3" width="9.1640625" style="140"/>
    <col min="4" max="4" width="7.33203125" style="141" bestFit="1" customWidth="1"/>
    <col min="5" max="5" width="8.33203125" style="141" bestFit="1" customWidth="1"/>
    <col min="6" max="6" width="7.33203125" style="141" bestFit="1" customWidth="1"/>
    <col min="7" max="7" width="8.33203125" style="141" bestFit="1" customWidth="1"/>
    <col min="8" max="9" width="9.1640625" style="141"/>
    <col min="10" max="10" width="22.1640625" style="141" bestFit="1" customWidth="1"/>
    <col min="11" max="13" width="14.1640625" style="141" bestFit="1" customWidth="1"/>
    <col min="14" max="14" width="12.33203125" style="141" bestFit="1" customWidth="1"/>
    <col min="15" max="18" width="5.33203125" style="141" bestFit="1" customWidth="1"/>
    <col min="19" max="19" width="9.33203125" style="153" bestFit="1" customWidth="1"/>
    <col min="20" max="20" width="10.1640625" style="153" bestFit="1" customWidth="1"/>
    <col min="21" max="21" width="9.1640625" style="141"/>
    <col min="22" max="22" width="20.1640625" style="141" bestFit="1" customWidth="1"/>
    <col min="23" max="25" width="8.33203125" style="141" customWidth="1"/>
    <col min="26" max="27" width="8.33203125" style="153" customWidth="1"/>
    <col min="28" max="28" width="9.1640625" style="141"/>
    <col min="29" max="29" width="26" style="29" bestFit="1" customWidth="1"/>
    <col min="30" max="30" width="11.6640625" style="28" customWidth="1"/>
    <col min="31" max="32" width="11.6640625" style="136" customWidth="1"/>
    <col min="33" max="36" width="11.6640625" style="28" customWidth="1"/>
    <col min="37" max="37" width="9.1640625" style="140"/>
    <col min="38" max="16384" width="9.1640625" style="141"/>
  </cols>
  <sheetData>
    <row r="1" spans="1:36">
      <c r="A1" s="139"/>
      <c r="D1" s="215" t="s">
        <v>985</v>
      </c>
      <c r="E1" s="215"/>
      <c r="F1" s="215" t="s">
        <v>986</v>
      </c>
      <c r="G1" s="215"/>
      <c r="J1" s="217" t="s">
        <v>987</v>
      </c>
      <c r="K1" s="217"/>
      <c r="L1" s="217"/>
      <c r="M1" s="217"/>
      <c r="N1" s="217"/>
      <c r="O1" s="217"/>
      <c r="P1" s="217"/>
      <c r="Q1" s="217"/>
      <c r="R1" s="217"/>
      <c r="S1" s="217"/>
      <c r="T1" s="217"/>
      <c r="V1" s="216" t="s">
        <v>985</v>
      </c>
      <c r="W1" s="216"/>
      <c r="X1" s="216"/>
      <c r="Y1" s="216"/>
      <c r="Z1" s="216"/>
      <c r="AA1" s="216"/>
      <c r="AC1" s="218" t="s">
        <v>1917</v>
      </c>
      <c r="AD1" s="218"/>
      <c r="AE1" s="218"/>
      <c r="AF1" s="218"/>
      <c r="AG1" s="218"/>
      <c r="AH1" s="218"/>
      <c r="AI1" s="218"/>
      <c r="AJ1" s="218"/>
    </row>
    <row r="2" spans="1:36">
      <c r="A2" s="142" t="str">
        <f>J2</f>
        <v>country</v>
      </c>
      <c r="D2" s="142" t="s">
        <v>988</v>
      </c>
      <c r="E2" s="142" t="s">
        <v>989</v>
      </c>
      <c r="F2" s="143" t="s">
        <v>988</v>
      </c>
      <c r="G2" s="143" t="s">
        <v>989</v>
      </c>
      <c r="H2" s="142"/>
      <c r="I2" s="142"/>
      <c r="J2" s="142" t="s">
        <v>91</v>
      </c>
      <c r="K2" s="142" t="s">
        <v>990</v>
      </c>
      <c r="L2" s="142" t="s">
        <v>991</v>
      </c>
      <c r="M2" s="142" t="s">
        <v>992</v>
      </c>
      <c r="N2" s="142" t="s">
        <v>993</v>
      </c>
      <c r="O2" s="142" t="s">
        <v>994</v>
      </c>
      <c r="P2" s="142" t="s">
        <v>995</v>
      </c>
      <c r="Q2" s="142" t="s">
        <v>996</v>
      </c>
      <c r="R2" s="142" t="s">
        <v>997</v>
      </c>
      <c r="S2" s="144" t="s">
        <v>988</v>
      </c>
      <c r="T2" s="144" t="s">
        <v>989</v>
      </c>
      <c r="V2" s="142" t="s">
        <v>91</v>
      </c>
      <c r="W2" s="142" t="s">
        <v>998</v>
      </c>
      <c r="X2" s="142" t="s">
        <v>999</v>
      </c>
      <c r="Y2" s="142" t="s">
        <v>1000</v>
      </c>
      <c r="Z2" s="144" t="s">
        <v>988</v>
      </c>
      <c r="AA2" s="144" t="s">
        <v>989</v>
      </c>
      <c r="AC2" s="142" t="s">
        <v>91</v>
      </c>
      <c r="AD2" s="27" t="s">
        <v>1911</v>
      </c>
      <c r="AE2" s="154" t="s">
        <v>998</v>
      </c>
      <c r="AF2" s="154" t="s">
        <v>999</v>
      </c>
      <c r="AG2" s="27" t="s">
        <v>1000</v>
      </c>
      <c r="AH2" s="27" t="s">
        <v>1912</v>
      </c>
      <c r="AI2" s="154" t="s">
        <v>988</v>
      </c>
      <c r="AJ2" s="154" t="s">
        <v>989</v>
      </c>
    </row>
    <row r="3" spans="1:36">
      <c r="A3" s="145" t="str">
        <f>J3</f>
        <v>Albania</v>
      </c>
      <c r="D3" s="145">
        <f t="shared" ref="D3:D34" si="0">VLOOKUP(J3,$V$3:$AA$184,5,FALSE)</f>
        <v>0.15907322379759381</v>
      </c>
      <c r="E3" s="145">
        <f t="shared" ref="E3:E34" si="1">VLOOKUP(J3,$V$3:$AA$184,6,FALSE)</f>
        <v>0.59187928854603278</v>
      </c>
      <c r="F3" s="146">
        <f>MIN(B3:E3)</f>
        <v>0.15907322379759381</v>
      </c>
      <c r="G3" s="146">
        <f>MAX(B3:E3)</f>
        <v>0.59187928854603278</v>
      </c>
      <c r="J3" s="141" t="s">
        <v>1001</v>
      </c>
      <c r="K3" s="147">
        <v>3259</v>
      </c>
      <c r="L3" s="147">
        <v>2087</v>
      </c>
      <c r="M3" s="147">
        <v>3338</v>
      </c>
      <c r="N3" s="147">
        <v>2761</v>
      </c>
      <c r="O3" s="145">
        <v>0.83</v>
      </c>
      <c r="P3" s="145">
        <v>0.53</v>
      </c>
      <c r="Q3" s="145">
        <v>0.85</v>
      </c>
      <c r="R3" s="145">
        <v>0.7</v>
      </c>
      <c r="S3" s="148">
        <f>MIN(O3:R3)</f>
        <v>0.53</v>
      </c>
      <c r="T3" s="148">
        <f>MAX(O3:R3)</f>
        <v>0.85</v>
      </c>
      <c r="U3" s="145"/>
      <c r="V3" s="141" t="s">
        <v>1002</v>
      </c>
      <c r="W3" s="149">
        <v>19</v>
      </c>
      <c r="X3" s="149">
        <v>349</v>
      </c>
      <c r="Y3" s="149">
        <f t="shared" ref="Y3:Y34" si="2">VLOOKUP(V3,gdppc,55,FALSE)</f>
        <v>624.31545450661497</v>
      </c>
      <c r="Z3" s="150">
        <f>W3/$Y3</f>
        <v>3.0433332801308517E-2</v>
      </c>
      <c r="AA3" s="150">
        <f>X3/$Y3</f>
        <v>0.5590122709292985</v>
      </c>
      <c r="AC3" s="29" t="s">
        <v>1002</v>
      </c>
      <c r="AD3" s="28">
        <v>320</v>
      </c>
      <c r="AE3" s="136">
        <v>101</v>
      </c>
      <c r="AF3" s="136">
        <v>503</v>
      </c>
      <c r="AG3" s="137">
        <f t="shared" ref="AG3:AG34" si="3">VLOOKUP(AC3,gdppc,61,FALSE)</f>
        <v>494.17934989999998</v>
      </c>
      <c r="AH3" s="138">
        <f t="shared" ref="AH3:AH34" si="4">AD3/AG3</f>
        <v>0.64753818641906802</v>
      </c>
      <c r="AI3" s="138">
        <f>AE3/AG3</f>
        <v>0.20437924008851832</v>
      </c>
      <c r="AJ3" s="138">
        <f>AF3/AG3</f>
        <v>1.0178490867774725</v>
      </c>
    </row>
    <row r="4" spans="1:36">
      <c r="A4" s="145" t="str">
        <f t="shared" ref="A4:A11" si="5">J4</f>
        <v>Algeria</v>
      </c>
      <c r="D4" s="145">
        <f t="shared" si="0"/>
        <v>0.18401380668795944</v>
      </c>
      <c r="E4" s="145">
        <f t="shared" si="1"/>
        <v>0.68059652019074324</v>
      </c>
      <c r="F4" s="146">
        <f t="shared" ref="F4:F67" si="6">MIN(B4:E4)</f>
        <v>0.18401380668795944</v>
      </c>
      <c r="G4" s="146">
        <f t="shared" ref="G4:G67" si="7">MAX(B4:E4)</f>
        <v>0.68059652019074324</v>
      </c>
      <c r="H4" s="145"/>
      <c r="I4" s="145"/>
      <c r="J4" s="141" t="s">
        <v>586</v>
      </c>
      <c r="K4" s="147">
        <v>4646</v>
      </c>
      <c r="L4" s="147">
        <v>4086</v>
      </c>
      <c r="M4" s="147">
        <v>6485</v>
      </c>
      <c r="N4" s="147">
        <v>5475</v>
      </c>
      <c r="O4" s="145">
        <v>1.1000000000000001</v>
      </c>
      <c r="P4" s="145">
        <v>0.97</v>
      </c>
      <c r="Q4" s="145">
        <v>1.54</v>
      </c>
      <c r="R4" s="145">
        <v>1.3</v>
      </c>
      <c r="S4" s="148">
        <f t="shared" ref="S4:S34" si="8">MIN(O4:R4)</f>
        <v>0.97</v>
      </c>
      <c r="T4" s="148">
        <f t="shared" ref="T4:T34" si="9">MAX(O4:R4)</f>
        <v>1.54</v>
      </c>
      <c r="U4" s="145"/>
      <c r="V4" s="141" t="s">
        <v>1001</v>
      </c>
      <c r="W4" s="149">
        <v>702</v>
      </c>
      <c r="X4" s="149">
        <v>2612</v>
      </c>
      <c r="Y4" s="149">
        <f t="shared" si="2"/>
        <v>4413.0620052890299</v>
      </c>
      <c r="Z4" s="150">
        <f t="shared" ref="Z4:Z67" si="10">W4/$Y4</f>
        <v>0.15907322379759381</v>
      </c>
      <c r="AA4" s="150">
        <f t="shared" ref="AA4:AA67" si="11">X4/$Y4</f>
        <v>0.59187928854603278</v>
      </c>
      <c r="AC4" s="29" t="s">
        <v>586</v>
      </c>
      <c r="AD4" s="28">
        <v>2099</v>
      </c>
      <c r="AE4" s="136">
        <v>1072</v>
      </c>
      <c r="AF4" s="136">
        <v>2663</v>
      </c>
      <c r="AG4" s="137">
        <f t="shared" si="3"/>
        <v>3989.6682759999999</v>
      </c>
      <c r="AH4" s="138">
        <f t="shared" si="4"/>
        <v>0.52610890299492163</v>
      </c>
      <c r="AI4" s="138">
        <f t="shared" ref="AI4:AI67" si="12">AE4/AG4</f>
        <v>0.26869401810888804</v>
      </c>
      <c r="AJ4" s="138">
        <f t="shared" ref="AJ4:AJ67" si="13">AF4/AG4</f>
        <v>0.66747403938803063</v>
      </c>
    </row>
    <row r="5" spans="1:36">
      <c r="A5" s="145" t="str">
        <f t="shared" si="5"/>
        <v>Argentina</v>
      </c>
      <c r="D5" s="145" t="e">
        <f t="shared" si="0"/>
        <v>#N/A</v>
      </c>
      <c r="E5" s="145" t="e">
        <f t="shared" si="1"/>
        <v>#N/A</v>
      </c>
      <c r="F5" s="146" t="e">
        <f t="shared" si="6"/>
        <v>#N/A</v>
      </c>
      <c r="G5" s="146" t="e">
        <f t="shared" si="7"/>
        <v>#N/A</v>
      </c>
      <c r="H5" s="145"/>
      <c r="I5" s="145"/>
      <c r="J5" s="141" t="s">
        <v>365</v>
      </c>
      <c r="K5" s="147">
        <v>6794</v>
      </c>
      <c r="L5" s="147">
        <v>4936</v>
      </c>
      <c r="M5" s="147">
        <v>7469</v>
      </c>
      <c r="N5" s="147">
        <v>6582</v>
      </c>
      <c r="O5" s="145">
        <v>0.51</v>
      </c>
      <c r="P5" s="145">
        <v>0.37</v>
      </c>
      <c r="Q5" s="145">
        <v>0.56000000000000005</v>
      </c>
      <c r="R5" s="145">
        <v>0.49</v>
      </c>
      <c r="S5" s="148">
        <f t="shared" si="8"/>
        <v>0.37</v>
      </c>
      <c r="T5" s="148">
        <f t="shared" si="9"/>
        <v>0.56000000000000005</v>
      </c>
      <c r="U5" s="145"/>
      <c r="V5" s="141" t="s">
        <v>586</v>
      </c>
      <c r="W5" s="149">
        <v>1012</v>
      </c>
      <c r="X5" s="149">
        <v>3743</v>
      </c>
      <c r="Y5" s="149">
        <f t="shared" si="2"/>
        <v>5499.5873310533398</v>
      </c>
      <c r="Z5" s="150">
        <f t="shared" si="10"/>
        <v>0.18401380668795944</v>
      </c>
      <c r="AA5" s="150">
        <f t="shared" si="11"/>
        <v>0.68059652019074324</v>
      </c>
      <c r="AC5" s="29" t="s">
        <v>1004</v>
      </c>
      <c r="AD5" s="28">
        <v>462</v>
      </c>
      <c r="AE5" s="136">
        <v>236</v>
      </c>
      <c r="AF5" s="136">
        <v>587</v>
      </c>
      <c r="AG5" s="137">
        <f t="shared" si="3"/>
        <v>2809.626088</v>
      </c>
      <c r="AH5" s="138">
        <f t="shared" si="4"/>
        <v>0.16443469185213516</v>
      </c>
      <c r="AI5" s="138">
        <f t="shared" si="12"/>
        <v>8.3996942158233542E-2</v>
      </c>
      <c r="AJ5" s="138">
        <f t="shared" si="13"/>
        <v>0.20892459765628429</v>
      </c>
    </row>
    <row r="6" spans="1:36">
      <c r="A6" s="145" t="str">
        <f t="shared" si="5"/>
        <v>Armenia</v>
      </c>
      <c r="D6" s="145">
        <f t="shared" si="0"/>
        <v>0.10082919953648176</v>
      </c>
      <c r="E6" s="145">
        <f t="shared" si="1"/>
        <v>0.46923356166719282</v>
      </c>
      <c r="F6" s="146">
        <f t="shared" si="6"/>
        <v>0.10082919953648176</v>
      </c>
      <c r="G6" s="146">
        <f t="shared" si="7"/>
        <v>0.46923356166719282</v>
      </c>
      <c r="H6" s="145"/>
      <c r="I6" s="145"/>
      <c r="J6" s="141" t="s">
        <v>1003</v>
      </c>
      <c r="K6" s="147">
        <v>1312</v>
      </c>
      <c r="L6" s="147">
        <v>954</v>
      </c>
      <c r="M6" s="147">
        <v>1422</v>
      </c>
      <c r="N6" s="147">
        <v>1268</v>
      </c>
      <c r="O6" s="145">
        <v>0.38</v>
      </c>
      <c r="P6" s="145">
        <v>0.27</v>
      </c>
      <c r="Q6" s="145">
        <v>0.41</v>
      </c>
      <c r="R6" s="145">
        <v>0.36</v>
      </c>
      <c r="S6" s="148">
        <f t="shared" si="8"/>
        <v>0.27</v>
      </c>
      <c r="T6" s="148">
        <f t="shared" si="9"/>
        <v>0.41</v>
      </c>
      <c r="U6" s="145"/>
      <c r="V6" s="141" t="s">
        <v>1004</v>
      </c>
      <c r="W6" s="149">
        <v>603</v>
      </c>
      <c r="X6" s="149">
        <v>2897</v>
      </c>
      <c r="Y6" s="149">
        <f t="shared" si="2"/>
        <v>5254.8811260668299</v>
      </c>
      <c r="Z6" s="150">
        <f t="shared" si="10"/>
        <v>0.1147504549643986</v>
      </c>
      <c r="AA6" s="150">
        <f t="shared" si="11"/>
        <v>0.55129696191022015</v>
      </c>
      <c r="AC6" s="29" t="s">
        <v>1006</v>
      </c>
      <c r="AD6" s="28">
        <v>6302</v>
      </c>
      <c r="AE6" s="136">
        <v>5364</v>
      </c>
      <c r="AF6" s="136">
        <v>7893</v>
      </c>
      <c r="AG6" s="137">
        <f t="shared" si="3"/>
        <v>17376.649679999999</v>
      </c>
      <c r="AH6" s="138">
        <f t="shared" si="4"/>
        <v>0.3626706019891402</v>
      </c>
      <c r="AI6" s="138">
        <f t="shared" si="12"/>
        <v>0.30869011568863031</v>
      </c>
      <c r="AJ6" s="138">
        <f t="shared" si="13"/>
        <v>0.45423025412571938</v>
      </c>
    </row>
    <row r="7" spans="1:36">
      <c r="A7" s="145" t="str">
        <f t="shared" si="5"/>
        <v>Azerbaijan</v>
      </c>
      <c r="D7" s="145">
        <f t="shared" si="0"/>
        <v>0.24137362433286058</v>
      </c>
      <c r="E7" s="145">
        <f t="shared" si="1"/>
        <v>0.64133517964507036</v>
      </c>
      <c r="F7" s="146">
        <f t="shared" si="6"/>
        <v>0.24137362433286058</v>
      </c>
      <c r="G7" s="146">
        <f t="shared" si="7"/>
        <v>0.64133517964507036</v>
      </c>
      <c r="H7" s="145"/>
      <c r="I7" s="145"/>
      <c r="J7" s="141" t="s">
        <v>1005</v>
      </c>
      <c r="K7" s="147">
        <v>1599</v>
      </c>
      <c r="L7" s="147">
        <v>1345</v>
      </c>
      <c r="M7" s="147">
        <v>1954</v>
      </c>
      <c r="N7" s="147">
        <v>1794</v>
      </c>
      <c r="O7" s="145">
        <v>0.28999999999999998</v>
      </c>
      <c r="P7" s="145">
        <v>0.24</v>
      </c>
      <c r="Q7" s="145">
        <v>0.36</v>
      </c>
      <c r="R7" s="145">
        <v>0.33</v>
      </c>
      <c r="S7" s="148">
        <f t="shared" si="8"/>
        <v>0.24</v>
      </c>
      <c r="T7" s="148">
        <f t="shared" si="9"/>
        <v>0.36</v>
      </c>
      <c r="U7" s="145"/>
      <c r="V7" s="141" t="s">
        <v>1006</v>
      </c>
      <c r="W7" s="149">
        <v>3965</v>
      </c>
      <c r="X7" s="149">
        <v>8090</v>
      </c>
      <c r="Y7" s="149">
        <f t="shared" si="2"/>
        <v>12910.590625594499</v>
      </c>
      <c r="Z7" s="150">
        <f t="shared" si="10"/>
        <v>0.30711220849490933</v>
      </c>
      <c r="AA7" s="150">
        <f t="shared" si="11"/>
        <v>0.62661734343601938</v>
      </c>
      <c r="AC7" s="29" t="s">
        <v>365</v>
      </c>
      <c r="AD7" s="28">
        <v>9329</v>
      </c>
      <c r="AE7" s="136">
        <v>6805</v>
      </c>
      <c r="AF7" s="136">
        <v>16419</v>
      </c>
      <c r="AG7" s="137">
        <f t="shared" si="3"/>
        <v>10056.637940000001</v>
      </c>
      <c r="AH7" s="138">
        <f t="shared" si="4"/>
        <v>0.92764600412769749</v>
      </c>
      <c r="AI7" s="138">
        <f t="shared" si="12"/>
        <v>0.67666749470350318</v>
      </c>
      <c r="AJ7" s="138">
        <f t="shared" si="13"/>
        <v>1.6326529897923321</v>
      </c>
    </row>
    <row r="8" spans="1:36">
      <c r="A8" s="145" t="str">
        <f t="shared" si="5"/>
        <v>Bangladesh</v>
      </c>
      <c r="D8" s="145">
        <f t="shared" si="0"/>
        <v>3.0554227677593634E-2</v>
      </c>
      <c r="E8" s="145">
        <f t="shared" si="1"/>
        <v>0.43488850727774936</v>
      </c>
      <c r="F8" s="146">
        <f t="shared" si="6"/>
        <v>3.0554227677593634E-2</v>
      </c>
      <c r="G8" s="146">
        <f t="shared" si="7"/>
        <v>0.43488850727774936</v>
      </c>
      <c r="H8" s="145"/>
      <c r="I8" s="145"/>
      <c r="J8" s="141" t="s">
        <v>1007</v>
      </c>
      <c r="K8" s="147">
        <v>132</v>
      </c>
      <c r="L8" s="147">
        <v>114</v>
      </c>
      <c r="M8" s="147">
        <v>165</v>
      </c>
      <c r="N8" s="147">
        <v>151</v>
      </c>
      <c r="O8" s="145">
        <v>0.11</v>
      </c>
      <c r="P8" s="145">
        <v>0.09</v>
      </c>
      <c r="Q8" s="145">
        <v>0.14000000000000001</v>
      </c>
      <c r="R8" s="145">
        <v>0.12</v>
      </c>
      <c r="S8" s="148">
        <f t="shared" si="8"/>
        <v>0.09</v>
      </c>
      <c r="T8" s="148">
        <f t="shared" si="9"/>
        <v>0.14000000000000001</v>
      </c>
      <c r="U8" s="145"/>
      <c r="V8" s="141" t="s">
        <v>1003</v>
      </c>
      <c r="W8" s="149">
        <v>387</v>
      </c>
      <c r="X8" s="149">
        <v>1801</v>
      </c>
      <c r="Y8" s="149">
        <f t="shared" si="2"/>
        <v>3838.17387997786</v>
      </c>
      <c r="Z8" s="150">
        <f t="shared" si="10"/>
        <v>0.10082919953648176</v>
      </c>
      <c r="AA8" s="150">
        <f t="shared" si="11"/>
        <v>0.46923356166719282</v>
      </c>
      <c r="AC8" s="29" t="s">
        <v>1003</v>
      </c>
      <c r="AD8" s="28">
        <v>4958</v>
      </c>
      <c r="AE8" s="136">
        <v>3616</v>
      </c>
      <c r="AF8" s="136">
        <v>8726</v>
      </c>
      <c r="AG8" s="137">
        <f t="shared" si="3"/>
        <v>4604.6463240000003</v>
      </c>
      <c r="AH8" s="138">
        <f t="shared" si="4"/>
        <v>1.0767385052264005</v>
      </c>
      <c r="AI8" s="138">
        <f t="shared" si="12"/>
        <v>0.78529375451768135</v>
      </c>
      <c r="AJ8" s="138">
        <f t="shared" si="13"/>
        <v>1.8950423954428339</v>
      </c>
    </row>
    <row r="9" spans="1:36">
      <c r="A9" s="145" t="str">
        <f t="shared" si="5"/>
        <v>Belarus</v>
      </c>
      <c r="D9" s="145">
        <f t="shared" si="0"/>
        <v>0.23693052351963678</v>
      </c>
      <c r="E9" s="145">
        <f t="shared" si="1"/>
        <v>0.60726731015033031</v>
      </c>
      <c r="F9" s="146">
        <f t="shared" si="6"/>
        <v>0.23693052351963678</v>
      </c>
      <c r="G9" s="146">
        <f t="shared" si="7"/>
        <v>0.60726731015033031</v>
      </c>
      <c r="H9" s="145"/>
      <c r="I9" s="145"/>
      <c r="J9" s="141" t="s">
        <v>1008</v>
      </c>
      <c r="K9" s="147">
        <v>4967</v>
      </c>
      <c r="L9" s="147">
        <v>3113</v>
      </c>
      <c r="M9" s="147">
        <v>4225</v>
      </c>
      <c r="N9" s="147">
        <v>4074</v>
      </c>
      <c r="O9" s="145">
        <v>0.87</v>
      </c>
      <c r="P9" s="145">
        <v>0.54</v>
      </c>
      <c r="Q9" s="145">
        <v>0.74</v>
      </c>
      <c r="R9" s="145">
        <v>0.71</v>
      </c>
      <c r="S9" s="148">
        <f t="shared" si="8"/>
        <v>0.54</v>
      </c>
      <c r="T9" s="148">
        <f t="shared" si="9"/>
        <v>0.87</v>
      </c>
      <c r="U9" s="145"/>
      <c r="V9" s="141" t="s">
        <v>1009</v>
      </c>
      <c r="W9" s="149">
        <v>32771</v>
      </c>
      <c r="X9" s="149">
        <v>41732</v>
      </c>
      <c r="Y9" s="149">
        <f t="shared" si="2"/>
        <v>68156.627916208497</v>
      </c>
      <c r="Z9" s="150">
        <f t="shared" si="10"/>
        <v>0.48081897537959983</v>
      </c>
      <c r="AA9" s="150">
        <f t="shared" si="11"/>
        <v>0.61229555035065941</v>
      </c>
      <c r="AC9" s="29" t="s">
        <v>1009</v>
      </c>
      <c r="AD9" s="28">
        <v>49211</v>
      </c>
      <c r="AE9" s="136">
        <v>41884</v>
      </c>
      <c r="AF9" s="136">
        <v>61634</v>
      </c>
      <c r="AG9" s="137">
        <f t="shared" si="3"/>
        <v>54875.285960000001</v>
      </c>
      <c r="AH9" s="138">
        <f t="shared" si="4"/>
        <v>0.89677892586967389</v>
      </c>
      <c r="AI9" s="138">
        <f t="shared" si="12"/>
        <v>0.7632579815717101</v>
      </c>
      <c r="AJ9" s="138">
        <f t="shared" si="13"/>
        <v>1.1231649898813576</v>
      </c>
    </row>
    <row r="10" spans="1:36">
      <c r="A10" s="145" t="str">
        <f t="shared" si="5"/>
        <v>Belize</v>
      </c>
      <c r="D10" s="145">
        <f t="shared" si="0"/>
        <v>0.12782794070629774</v>
      </c>
      <c r="E10" s="145">
        <f t="shared" si="1"/>
        <v>0.5478653006641494</v>
      </c>
      <c r="F10" s="146">
        <f t="shared" si="6"/>
        <v>0.12782794070629774</v>
      </c>
      <c r="G10" s="146">
        <f t="shared" si="7"/>
        <v>0.5478653006641494</v>
      </c>
      <c r="H10" s="145"/>
      <c r="I10" s="145"/>
      <c r="J10" s="141" t="s">
        <v>1010</v>
      </c>
      <c r="K10" s="147">
        <v>4808</v>
      </c>
      <c r="L10" s="147">
        <v>2935</v>
      </c>
      <c r="M10" s="147">
        <v>4378</v>
      </c>
      <c r="N10" s="147">
        <v>3879</v>
      </c>
      <c r="O10" s="145">
        <v>0.99</v>
      </c>
      <c r="P10" s="145">
        <v>0.6</v>
      </c>
      <c r="Q10" s="145">
        <v>0.9</v>
      </c>
      <c r="R10" s="145">
        <v>0.8</v>
      </c>
      <c r="S10" s="148">
        <f t="shared" si="8"/>
        <v>0.6</v>
      </c>
      <c r="T10" s="148">
        <f t="shared" si="9"/>
        <v>0.99</v>
      </c>
      <c r="U10" s="145"/>
      <c r="V10" s="141" t="s">
        <v>1011</v>
      </c>
      <c r="W10" s="149">
        <v>23727</v>
      </c>
      <c r="X10" s="149">
        <v>30759</v>
      </c>
      <c r="Y10" s="149">
        <f t="shared" si="2"/>
        <v>50716.708706286401</v>
      </c>
      <c r="Z10" s="150">
        <f t="shared" si="10"/>
        <v>0.46783398618016014</v>
      </c>
      <c r="AA10" s="150">
        <f t="shared" si="11"/>
        <v>0.60648651666521458</v>
      </c>
      <c r="AC10" s="29" t="s">
        <v>1011</v>
      </c>
      <c r="AD10" s="28">
        <v>46380</v>
      </c>
      <c r="AE10" s="136">
        <v>39475</v>
      </c>
      <c r="AF10" s="136">
        <v>58089</v>
      </c>
      <c r="AG10" s="137">
        <f t="shared" si="3"/>
        <v>50114.401109999999</v>
      </c>
      <c r="AH10" s="138">
        <f t="shared" si="4"/>
        <v>0.92548247555023011</v>
      </c>
      <c r="AI10" s="138">
        <f t="shared" si="12"/>
        <v>0.78769773010662647</v>
      </c>
      <c r="AJ10" s="138">
        <f t="shared" si="13"/>
        <v>1.1591278896558284</v>
      </c>
    </row>
    <row r="11" spans="1:36">
      <c r="A11" s="145" t="str">
        <f t="shared" si="5"/>
        <v>Benin</v>
      </c>
      <c r="D11" s="145">
        <f t="shared" si="0"/>
        <v>1.5984529948723122E-2</v>
      </c>
      <c r="E11" s="145">
        <f t="shared" si="1"/>
        <v>0.33087976993856866</v>
      </c>
      <c r="F11" s="146">
        <f t="shared" si="6"/>
        <v>1.5984529948723122E-2</v>
      </c>
      <c r="G11" s="146">
        <f t="shared" si="7"/>
        <v>0.33087976993856866</v>
      </c>
      <c r="H11" s="145"/>
      <c r="I11" s="145"/>
      <c r="J11" s="141" t="s">
        <v>1012</v>
      </c>
      <c r="K11" s="147">
        <v>200</v>
      </c>
      <c r="L11" s="147">
        <v>171</v>
      </c>
      <c r="M11" s="147">
        <v>202</v>
      </c>
      <c r="N11" s="147">
        <v>223</v>
      </c>
      <c r="O11" s="145">
        <v>0.26</v>
      </c>
      <c r="P11" s="145">
        <v>0.22</v>
      </c>
      <c r="Q11" s="145">
        <v>0.26</v>
      </c>
      <c r="R11" s="145">
        <v>0.28999999999999998</v>
      </c>
      <c r="S11" s="148">
        <f t="shared" si="8"/>
        <v>0.22</v>
      </c>
      <c r="T11" s="148">
        <f t="shared" si="9"/>
        <v>0.28999999999999998</v>
      </c>
      <c r="U11" s="145"/>
      <c r="V11" s="141" t="s">
        <v>1005</v>
      </c>
      <c r="W11" s="149">
        <v>1901</v>
      </c>
      <c r="X11" s="149">
        <v>5051</v>
      </c>
      <c r="Y11" s="149">
        <f t="shared" si="2"/>
        <v>7875.7569525428798</v>
      </c>
      <c r="Z11" s="150">
        <f t="shared" si="10"/>
        <v>0.24137362433286058</v>
      </c>
      <c r="AA11" s="150">
        <f t="shared" si="11"/>
        <v>0.64133517964507036</v>
      </c>
      <c r="AC11" s="29" t="s">
        <v>1005</v>
      </c>
      <c r="AD11" s="28">
        <v>1821</v>
      </c>
      <c r="AE11" s="136">
        <v>1329</v>
      </c>
      <c r="AF11" s="136">
        <v>3206</v>
      </c>
      <c r="AG11" s="137">
        <f t="shared" si="3"/>
        <v>4805.7537179999999</v>
      </c>
      <c r="AH11" s="138">
        <f t="shared" si="4"/>
        <v>0.37892079096342907</v>
      </c>
      <c r="AI11" s="138">
        <f t="shared" si="12"/>
        <v>0.27654350971466074</v>
      </c>
      <c r="AJ11" s="138">
        <f t="shared" si="13"/>
        <v>0.66711699935681146</v>
      </c>
    </row>
    <row r="12" spans="1:36">
      <c r="A12" s="145" t="str">
        <f t="shared" ref="A12:A43" si="14">J12</f>
        <v>Bolivia</v>
      </c>
      <c r="D12" s="145">
        <f t="shared" si="0"/>
        <v>8.5963815471792035E-2</v>
      </c>
      <c r="E12" s="145">
        <f t="shared" si="1"/>
        <v>0.50684265602168577</v>
      </c>
      <c r="F12" s="146">
        <f t="shared" si="6"/>
        <v>8.5963815471792035E-2</v>
      </c>
      <c r="G12" s="146">
        <f t="shared" si="7"/>
        <v>0.50684265602168577</v>
      </c>
      <c r="H12" s="145"/>
      <c r="I12" s="145"/>
      <c r="J12" s="141" t="s">
        <v>1013</v>
      </c>
      <c r="K12" s="147">
        <v>2505</v>
      </c>
      <c r="L12" s="147">
        <v>2106</v>
      </c>
      <c r="M12" s="147">
        <v>3053</v>
      </c>
      <c r="N12" s="147">
        <v>2799</v>
      </c>
      <c r="O12" s="145">
        <v>0.81</v>
      </c>
      <c r="P12" s="145">
        <v>0.68</v>
      </c>
      <c r="Q12" s="145">
        <v>0.99</v>
      </c>
      <c r="R12" s="145">
        <v>0.91</v>
      </c>
      <c r="S12" s="148">
        <f t="shared" si="8"/>
        <v>0.68</v>
      </c>
      <c r="T12" s="148">
        <f t="shared" si="9"/>
        <v>0.99</v>
      </c>
      <c r="U12" s="145"/>
      <c r="V12" s="141" t="s">
        <v>1014</v>
      </c>
      <c r="W12" s="149">
        <v>11962</v>
      </c>
      <c r="X12" s="149">
        <v>15358</v>
      </c>
      <c r="Y12" s="149">
        <f t="shared" si="2"/>
        <v>24744.296958551</v>
      </c>
      <c r="Z12" s="150">
        <f t="shared" si="10"/>
        <v>0.48342452485263426</v>
      </c>
      <c r="AA12" s="150">
        <f t="shared" si="11"/>
        <v>0.62066827058073537</v>
      </c>
      <c r="AC12" s="29" t="s">
        <v>1170</v>
      </c>
      <c r="AD12" s="28">
        <v>15932</v>
      </c>
      <c r="AE12" s="136">
        <v>13561</v>
      </c>
      <c r="AF12" s="136">
        <v>19954</v>
      </c>
      <c r="AG12" s="137">
        <f t="shared" si="3"/>
        <v>33799.417690000002</v>
      </c>
      <c r="AH12" s="138">
        <f t="shared" si="4"/>
        <v>0.4713690675420627</v>
      </c>
      <c r="AI12" s="138">
        <f t="shared" si="12"/>
        <v>0.40121993001116696</v>
      </c>
      <c r="AJ12" s="138">
        <f t="shared" si="13"/>
        <v>0.59036520046035146</v>
      </c>
    </row>
    <row r="13" spans="1:36">
      <c r="A13" s="145" t="str">
        <f t="shared" si="14"/>
        <v>Botswana</v>
      </c>
      <c r="D13" s="145">
        <f t="shared" si="0"/>
        <v>0.2243625714168834</v>
      </c>
      <c r="E13" s="145">
        <f t="shared" si="1"/>
        <v>0.66976587482189931</v>
      </c>
      <c r="F13" s="146">
        <f t="shared" si="6"/>
        <v>0.2243625714168834</v>
      </c>
      <c r="G13" s="146">
        <f t="shared" si="7"/>
        <v>0.66976587482189931</v>
      </c>
      <c r="H13" s="145"/>
      <c r="I13" s="145"/>
      <c r="J13" s="141" t="s">
        <v>1015</v>
      </c>
      <c r="K13" s="147">
        <v>3411</v>
      </c>
      <c r="L13" s="147">
        <v>2097</v>
      </c>
      <c r="M13" s="147">
        <v>2629</v>
      </c>
      <c r="N13" s="147">
        <v>2702</v>
      </c>
      <c r="O13" s="145">
        <v>0.54</v>
      </c>
      <c r="P13" s="145">
        <v>0.33</v>
      </c>
      <c r="Q13" s="145">
        <v>0.41</v>
      </c>
      <c r="R13" s="145">
        <v>0.42</v>
      </c>
      <c r="S13" s="148">
        <f t="shared" si="8"/>
        <v>0.33</v>
      </c>
      <c r="T13" s="148">
        <f t="shared" si="9"/>
        <v>0.54</v>
      </c>
      <c r="U13" s="145"/>
      <c r="V13" s="141" t="s">
        <v>1007</v>
      </c>
      <c r="W13" s="149">
        <v>30</v>
      </c>
      <c r="X13" s="149">
        <v>427</v>
      </c>
      <c r="Y13" s="149">
        <f t="shared" si="2"/>
        <v>981.86085135445705</v>
      </c>
      <c r="Z13" s="150">
        <f t="shared" si="10"/>
        <v>3.0554227677593634E-2</v>
      </c>
      <c r="AA13" s="150">
        <f t="shared" si="11"/>
        <v>0.43488850727774936</v>
      </c>
      <c r="AC13" s="29" t="s">
        <v>1014</v>
      </c>
      <c r="AD13" s="28">
        <v>7981</v>
      </c>
      <c r="AE13" s="136">
        <v>6793</v>
      </c>
      <c r="AF13" s="136">
        <v>9996</v>
      </c>
      <c r="AG13" s="137">
        <f t="shared" si="3"/>
        <v>23551.930090000002</v>
      </c>
      <c r="AH13" s="138">
        <f t="shared" si="4"/>
        <v>0.33886819337106822</v>
      </c>
      <c r="AI13" s="138">
        <f t="shared" si="12"/>
        <v>0.28842646755665535</v>
      </c>
      <c r="AJ13" s="138">
        <f t="shared" si="13"/>
        <v>0.42442381417581726</v>
      </c>
    </row>
    <row r="14" spans="1:36">
      <c r="A14" s="145" t="str">
        <f t="shared" si="14"/>
        <v>Brazil</v>
      </c>
      <c r="D14" s="145">
        <f t="shared" si="0"/>
        <v>0.19454672897770822</v>
      </c>
      <c r="E14" s="145">
        <f t="shared" si="1"/>
        <v>0.61331405073457201</v>
      </c>
      <c r="F14" s="146">
        <f t="shared" si="6"/>
        <v>0.19454672897770822</v>
      </c>
      <c r="G14" s="146">
        <f t="shared" si="7"/>
        <v>0.61331405073457201</v>
      </c>
      <c r="H14" s="145"/>
      <c r="I14" s="145"/>
      <c r="J14" s="141" t="s">
        <v>330</v>
      </c>
      <c r="K14" s="147">
        <v>8397</v>
      </c>
      <c r="L14" s="147">
        <v>6048</v>
      </c>
      <c r="M14" s="147">
        <v>9318</v>
      </c>
      <c r="N14" s="147">
        <v>8047</v>
      </c>
      <c r="O14" s="145">
        <v>0.98</v>
      </c>
      <c r="P14" s="145">
        <v>0.71</v>
      </c>
      <c r="Q14" s="145">
        <v>1.0900000000000001</v>
      </c>
      <c r="R14" s="145">
        <v>0.94</v>
      </c>
      <c r="S14" s="148">
        <f t="shared" si="8"/>
        <v>0.71</v>
      </c>
      <c r="T14" s="148">
        <f t="shared" si="9"/>
        <v>1.0900000000000001</v>
      </c>
      <c r="U14" s="145"/>
      <c r="V14" s="141" t="s">
        <v>1008</v>
      </c>
      <c r="W14" s="149">
        <v>1895</v>
      </c>
      <c r="X14" s="149">
        <v>4857</v>
      </c>
      <c r="Y14" s="149">
        <f t="shared" si="2"/>
        <v>7998.12523878099</v>
      </c>
      <c r="Z14" s="150">
        <f t="shared" si="10"/>
        <v>0.23693052351963678</v>
      </c>
      <c r="AA14" s="150">
        <f t="shared" si="11"/>
        <v>0.60726731015033031</v>
      </c>
      <c r="AC14" s="29" t="s">
        <v>1007</v>
      </c>
      <c r="AD14" s="28">
        <v>357</v>
      </c>
      <c r="AE14" s="136">
        <v>182</v>
      </c>
      <c r="AF14" s="136">
        <v>453</v>
      </c>
      <c r="AG14" s="137">
        <f t="shared" si="3"/>
        <v>1855.740094</v>
      </c>
      <c r="AH14" s="138">
        <f t="shared" si="4"/>
        <v>0.19237607742283333</v>
      </c>
      <c r="AI14" s="138">
        <f t="shared" si="12"/>
        <v>9.8074078686150326E-2</v>
      </c>
      <c r="AJ14" s="138">
        <f t="shared" si="13"/>
        <v>0.24410745958695657</v>
      </c>
    </row>
    <row r="15" spans="1:36">
      <c r="A15" s="145" t="str">
        <f t="shared" si="14"/>
        <v>Bulgaria</v>
      </c>
      <c r="D15" s="145">
        <f t="shared" si="0"/>
        <v>0.22390193162164929</v>
      </c>
      <c r="E15" s="145">
        <f t="shared" si="1"/>
        <v>0.65413209674348116</v>
      </c>
      <c r="F15" s="146">
        <f t="shared" si="6"/>
        <v>0.22390193162164929</v>
      </c>
      <c r="G15" s="146">
        <f t="shared" si="7"/>
        <v>0.65413209674348116</v>
      </c>
      <c r="H15" s="145"/>
      <c r="I15" s="145"/>
      <c r="J15" s="141" t="s">
        <v>1016</v>
      </c>
      <c r="K15" s="147">
        <v>5952</v>
      </c>
      <c r="L15" s="147">
        <v>4067</v>
      </c>
      <c r="M15" s="147">
        <v>5787</v>
      </c>
      <c r="N15" s="147">
        <v>5339</v>
      </c>
      <c r="O15" s="145">
        <v>0.85</v>
      </c>
      <c r="P15" s="145">
        <v>0.57999999999999996</v>
      </c>
      <c r="Q15" s="145">
        <v>0.83</v>
      </c>
      <c r="R15" s="145">
        <v>0.76</v>
      </c>
      <c r="S15" s="148">
        <f t="shared" si="8"/>
        <v>0.57999999999999996</v>
      </c>
      <c r="T15" s="148">
        <f t="shared" si="9"/>
        <v>0.85</v>
      </c>
      <c r="U15" s="145"/>
      <c r="V15" s="141" t="s">
        <v>1017</v>
      </c>
      <c r="W15" s="149">
        <v>22570</v>
      </c>
      <c r="X15" s="149">
        <v>26003</v>
      </c>
      <c r="Y15" s="149">
        <f t="shared" si="2"/>
        <v>46744.662544151601</v>
      </c>
      <c r="Z15" s="150">
        <f t="shared" si="10"/>
        <v>0.48283587412107259</v>
      </c>
      <c r="AA15" s="150">
        <f t="shared" si="11"/>
        <v>0.5562774140350133</v>
      </c>
      <c r="AC15" s="29" t="s">
        <v>1172</v>
      </c>
      <c r="AD15" s="28">
        <v>10017</v>
      </c>
      <c r="AE15" s="136">
        <v>8526</v>
      </c>
      <c r="AF15" s="136">
        <v>12545</v>
      </c>
      <c r="AG15" s="137">
        <f t="shared" si="3"/>
        <v>18148.49785</v>
      </c>
      <c r="AH15" s="138">
        <f t="shared" si="4"/>
        <v>0.55194650724219585</v>
      </c>
      <c r="AI15" s="138">
        <f t="shared" si="12"/>
        <v>0.46979094746400735</v>
      </c>
      <c r="AJ15" s="138">
        <f t="shared" si="13"/>
        <v>0.69124178230541544</v>
      </c>
    </row>
    <row r="16" spans="1:36">
      <c r="A16" s="145" t="str">
        <f t="shared" si="14"/>
        <v>Burkina Faso</v>
      </c>
      <c r="D16" s="145">
        <f t="shared" si="0"/>
        <v>2.1588139390531405E-2</v>
      </c>
      <c r="E16" s="145">
        <f t="shared" si="1"/>
        <v>0.48128851935361194</v>
      </c>
      <c r="F16" s="146">
        <f t="shared" si="6"/>
        <v>2.1588139390531405E-2</v>
      </c>
      <c r="G16" s="146">
        <f t="shared" si="7"/>
        <v>0.48128851935361194</v>
      </c>
      <c r="H16" s="145"/>
      <c r="I16" s="145"/>
      <c r="J16" s="141" t="s">
        <v>1018</v>
      </c>
      <c r="K16" s="147">
        <v>138</v>
      </c>
      <c r="L16" s="147">
        <v>139</v>
      </c>
      <c r="M16" s="147">
        <v>155</v>
      </c>
      <c r="N16" s="147">
        <v>182</v>
      </c>
      <c r="O16" s="145">
        <v>0.23</v>
      </c>
      <c r="P16" s="145">
        <v>0.24</v>
      </c>
      <c r="Q16" s="145">
        <v>0.26</v>
      </c>
      <c r="R16" s="145">
        <v>0.31</v>
      </c>
      <c r="S16" s="148">
        <f t="shared" si="8"/>
        <v>0.23</v>
      </c>
      <c r="T16" s="148">
        <f t="shared" si="9"/>
        <v>0.31</v>
      </c>
      <c r="U16" s="145"/>
      <c r="V16" s="141" t="s">
        <v>1010</v>
      </c>
      <c r="W16" s="149">
        <v>584</v>
      </c>
      <c r="X16" s="149">
        <v>2503</v>
      </c>
      <c r="Y16" s="149">
        <f t="shared" si="2"/>
        <v>4568.6412279911501</v>
      </c>
      <c r="Z16" s="150">
        <f t="shared" si="10"/>
        <v>0.12782794070629774</v>
      </c>
      <c r="AA16" s="150">
        <f t="shared" si="11"/>
        <v>0.5478653006641494</v>
      </c>
      <c r="AC16" s="29" t="s">
        <v>1008</v>
      </c>
      <c r="AD16" s="28">
        <v>3757</v>
      </c>
      <c r="AE16" s="136">
        <v>2741</v>
      </c>
      <c r="AF16" s="136">
        <v>6613</v>
      </c>
      <c r="AG16" s="137">
        <f t="shared" si="3"/>
        <v>6837.7178260000001</v>
      </c>
      <c r="AH16" s="138">
        <f t="shared" si="4"/>
        <v>0.54945233126091275</v>
      </c>
      <c r="AI16" s="138">
        <f t="shared" si="12"/>
        <v>0.40086474314244391</v>
      </c>
      <c r="AJ16" s="138">
        <f t="shared" si="13"/>
        <v>0.967135551404955</v>
      </c>
    </row>
    <row r="17" spans="1:36">
      <c r="A17" s="145" t="str">
        <f t="shared" si="14"/>
        <v>Burundi</v>
      </c>
      <c r="D17" s="145">
        <f t="shared" si="0"/>
        <v>1.1674257733315364E-2</v>
      </c>
      <c r="E17" s="145">
        <f t="shared" si="1"/>
        <v>0.53312443648806829</v>
      </c>
      <c r="F17" s="146">
        <f t="shared" si="6"/>
        <v>1.1674257733315364E-2</v>
      </c>
      <c r="G17" s="146">
        <f t="shared" si="7"/>
        <v>0.53312443648806829</v>
      </c>
      <c r="H17" s="145"/>
      <c r="I17" s="145"/>
      <c r="J17" s="141" t="s">
        <v>1019</v>
      </c>
      <c r="K17" s="147">
        <v>107</v>
      </c>
      <c r="L17" s="147">
        <v>99</v>
      </c>
      <c r="M17" s="147">
        <v>113</v>
      </c>
      <c r="N17" s="147">
        <v>131</v>
      </c>
      <c r="O17" s="145">
        <v>0.38</v>
      </c>
      <c r="P17" s="145">
        <v>0.36</v>
      </c>
      <c r="Q17" s="145">
        <v>0.41</v>
      </c>
      <c r="R17" s="145">
        <v>0.47</v>
      </c>
      <c r="S17" s="148">
        <f t="shared" si="8"/>
        <v>0.36</v>
      </c>
      <c r="T17" s="148">
        <f t="shared" si="9"/>
        <v>0.47</v>
      </c>
      <c r="U17" s="145"/>
      <c r="V17" s="141" t="s">
        <v>1012</v>
      </c>
      <c r="W17" s="149">
        <v>20</v>
      </c>
      <c r="X17" s="149">
        <v>414</v>
      </c>
      <c r="Y17" s="149">
        <f t="shared" si="2"/>
        <v>1251.2097674537899</v>
      </c>
      <c r="Z17" s="150">
        <f t="shared" si="10"/>
        <v>1.5984529948723122E-2</v>
      </c>
      <c r="AA17" s="150">
        <f t="shared" si="11"/>
        <v>0.33087976993856866</v>
      </c>
      <c r="AC17" s="29" t="s">
        <v>1017</v>
      </c>
      <c r="AD17" s="28">
        <v>44231</v>
      </c>
      <c r="AE17" s="136">
        <v>37646</v>
      </c>
      <c r="AF17" s="136">
        <v>55397</v>
      </c>
      <c r="AG17" s="137">
        <f t="shared" si="3"/>
        <v>46591.491609999997</v>
      </c>
      <c r="AH17" s="138">
        <f t="shared" si="4"/>
        <v>0.9493364232731849</v>
      </c>
      <c r="AI17" s="138">
        <f t="shared" si="12"/>
        <v>0.80800160499519158</v>
      </c>
      <c r="AJ17" s="138">
        <f t="shared" si="13"/>
        <v>1.1889939146766888</v>
      </c>
    </row>
    <row r="18" spans="1:36">
      <c r="A18" s="145" t="str">
        <f t="shared" si="14"/>
        <v>Cambodia</v>
      </c>
      <c r="D18" s="145">
        <f t="shared" si="0"/>
        <v>4.3417316364358784E-2</v>
      </c>
      <c r="E18" s="145">
        <f t="shared" si="1"/>
        <v>0.51114022447131469</v>
      </c>
      <c r="F18" s="146">
        <f t="shared" si="6"/>
        <v>4.3417316364358784E-2</v>
      </c>
      <c r="G18" s="146">
        <f t="shared" si="7"/>
        <v>0.51114022447131469</v>
      </c>
      <c r="H18" s="145"/>
      <c r="I18" s="145"/>
      <c r="J18" s="141" t="s">
        <v>1020</v>
      </c>
      <c r="K18" s="147">
        <v>276</v>
      </c>
      <c r="L18" s="147">
        <v>189</v>
      </c>
      <c r="M18" s="147">
        <v>262</v>
      </c>
      <c r="N18" s="147">
        <v>248</v>
      </c>
      <c r="O18" s="145">
        <v>0.24</v>
      </c>
      <c r="P18" s="145">
        <v>0.16</v>
      </c>
      <c r="Q18" s="145">
        <v>0.23</v>
      </c>
      <c r="R18" s="145">
        <v>0.21</v>
      </c>
      <c r="S18" s="148">
        <f t="shared" si="8"/>
        <v>0.16</v>
      </c>
      <c r="T18" s="148">
        <f t="shared" si="9"/>
        <v>0.24</v>
      </c>
      <c r="U18" s="145"/>
      <c r="V18" s="141" t="s">
        <v>322</v>
      </c>
      <c r="W18" s="149">
        <v>267</v>
      </c>
      <c r="X18" s="149">
        <v>1258</v>
      </c>
      <c r="Y18" s="149">
        <f t="shared" si="2"/>
        <v>2472.72475320595</v>
      </c>
      <c r="Z18" s="150">
        <f t="shared" si="10"/>
        <v>0.10797805119790538</v>
      </c>
      <c r="AA18" s="150">
        <f t="shared" si="11"/>
        <v>0.50875051837814589</v>
      </c>
      <c r="AC18" s="29" t="s">
        <v>1010</v>
      </c>
      <c r="AD18" s="28">
        <v>2819</v>
      </c>
      <c r="AE18" s="136">
        <v>2056</v>
      </c>
      <c r="AF18" s="136">
        <v>4961</v>
      </c>
      <c r="AG18" s="137">
        <f t="shared" si="3"/>
        <v>5078.8099439999996</v>
      </c>
      <c r="AH18" s="138">
        <f t="shared" si="4"/>
        <v>0.55505128781798729</v>
      </c>
      <c r="AI18" s="138">
        <f t="shared" si="12"/>
        <v>0.40481924361609861</v>
      </c>
      <c r="AJ18" s="138">
        <f t="shared" si="13"/>
        <v>0.9768036320911796</v>
      </c>
    </row>
    <row r="19" spans="1:36">
      <c r="A19" s="145" t="str">
        <f t="shared" si="14"/>
        <v>Cameroon</v>
      </c>
      <c r="D19" s="145">
        <f t="shared" si="0"/>
        <v>3.2073284041341951E-2</v>
      </c>
      <c r="E19" s="145">
        <f t="shared" si="1"/>
        <v>0.42808015842933955</v>
      </c>
      <c r="F19" s="146">
        <f t="shared" si="6"/>
        <v>3.2073284041341951E-2</v>
      </c>
      <c r="G19" s="146">
        <f t="shared" si="7"/>
        <v>0.42808015842933955</v>
      </c>
      <c r="H19" s="145"/>
      <c r="I19" s="145"/>
      <c r="J19" s="141" t="s">
        <v>1021</v>
      </c>
      <c r="K19" s="147">
        <v>112</v>
      </c>
      <c r="L19" s="147">
        <v>107</v>
      </c>
      <c r="M19" s="147">
        <v>123</v>
      </c>
      <c r="N19" s="147">
        <v>140</v>
      </c>
      <c r="O19" s="145">
        <v>0.09</v>
      </c>
      <c r="P19" s="145">
        <v>0.09</v>
      </c>
      <c r="Q19" s="145">
        <v>0.1</v>
      </c>
      <c r="R19" s="145">
        <v>0.12</v>
      </c>
      <c r="S19" s="148">
        <f t="shared" si="8"/>
        <v>0.09</v>
      </c>
      <c r="T19" s="148">
        <f t="shared" si="9"/>
        <v>0.12</v>
      </c>
      <c r="U19" s="145"/>
      <c r="V19" s="141" t="s">
        <v>1013</v>
      </c>
      <c r="W19" s="149">
        <v>250</v>
      </c>
      <c r="X19" s="149">
        <v>1474</v>
      </c>
      <c r="Y19" s="149">
        <f t="shared" si="2"/>
        <v>2908.2003704458002</v>
      </c>
      <c r="Z19" s="150">
        <f t="shared" si="10"/>
        <v>8.5963815471792035E-2</v>
      </c>
      <c r="AA19" s="150">
        <f t="shared" si="11"/>
        <v>0.50684265602168577</v>
      </c>
      <c r="AC19" s="29" t="s">
        <v>1012</v>
      </c>
      <c r="AD19" s="28">
        <v>190</v>
      </c>
      <c r="AE19" s="136">
        <v>97</v>
      </c>
      <c r="AF19" s="136">
        <v>241</v>
      </c>
      <c r="AG19" s="137">
        <f t="shared" si="3"/>
        <v>1219.515506</v>
      </c>
      <c r="AH19" s="138">
        <f t="shared" si="4"/>
        <v>0.15579957701661237</v>
      </c>
      <c r="AI19" s="138">
        <f t="shared" si="12"/>
        <v>7.953978405584948E-2</v>
      </c>
      <c r="AJ19" s="138">
        <f t="shared" si="13"/>
        <v>0.19761946347896622</v>
      </c>
    </row>
    <row r="20" spans="1:36">
      <c r="A20" s="145" t="str">
        <f t="shared" si="14"/>
        <v>Cape Verde</v>
      </c>
      <c r="D20" s="145" t="e">
        <f t="shared" si="0"/>
        <v>#N/A</v>
      </c>
      <c r="E20" s="145" t="e">
        <f t="shared" si="1"/>
        <v>#N/A</v>
      </c>
      <c r="F20" s="146" t="e">
        <f t="shared" si="6"/>
        <v>#N/A</v>
      </c>
      <c r="G20" s="146" t="e">
        <f t="shared" si="7"/>
        <v>#N/A</v>
      </c>
      <c r="H20" s="145"/>
      <c r="I20" s="145"/>
      <c r="J20" s="141" t="s">
        <v>1022</v>
      </c>
      <c r="K20" s="147">
        <v>2490</v>
      </c>
      <c r="L20" s="147">
        <v>1938</v>
      </c>
      <c r="M20" s="147">
        <v>2843</v>
      </c>
      <c r="N20" s="147">
        <v>2579</v>
      </c>
      <c r="O20" s="145">
        <v>0.81</v>
      </c>
      <c r="P20" s="145">
        <v>0.63</v>
      </c>
      <c r="Q20" s="145">
        <v>0.92</v>
      </c>
      <c r="R20" s="145">
        <v>0.84</v>
      </c>
      <c r="S20" s="148">
        <f t="shared" si="8"/>
        <v>0.63</v>
      </c>
      <c r="T20" s="148">
        <f t="shared" si="9"/>
        <v>0.92</v>
      </c>
      <c r="U20" s="145"/>
      <c r="V20" s="141" t="s">
        <v>1023</v>
      </c>
      <c r="W20" s="149">
        <v>644</v>
      </c>
      <c r="X20" s="149">
        <v>2421</v>
      </c>
      <c r="Y20" s="149">
        <f t="shared" si="2"/>
        <v>5129.6635340307002</v>
      </c>
      <c r="Z20" s="150">
        <f t="shared" si="10"/>
        <v>0.12554429656597157</v>
      </c>
      <c r="AA20" s="150">
        <f t="shared" si="11"/>
        <v>0.47196077948170367</v>
      </c>
      <c r="AC20" s="29" t="s">
        <v>322</v>
      </c>
      <c r="AD20" s="28">
        <v>896</v>
      </c>
      <c r="AE20" s="136">
        <v>458</v>
      </c>
      <c r="AF20" s="136">
        <v>1137</v>
      </c>
      <c r="AG20" s="137">
        <f t="shared" si="3"/>
        <v>3322.8633289999998</v>
      </c>
      <c r="AH20" s="138">
        <f t="shared" si="4"/>
        <v>0.26964696145647588</v>
      </c>
      <c r="AI20" s="138">
        <f t="shared" si="12"/>
        <v>0.13783293342306466</v>
      </c>
      <c r="AJ20" s="138">
        <f t="shared" si="13"/>
        <v>0.3421747714018003</v>
      </c>
    </row>
    <row r="21" spans="1:36">
      <c r="A21" s="145" t="str">
        <f t="shared" si="14"/>
        <v>Chad</v>
      </c>
      <c r="D21" s="145">
        <f t="shared" si="0"/>
        <v>3.1638730841507437E-2</v>
      </c>
      <c r="E21" s="145">
        <f t="shared" si="1"/>
        <v>0.55112627917464563</v>
      </c>
      <c r="F21" s="146">
        <f t="shared" si="6"/>
        <v>3.1638730841507437E-2</v>
      </c>
      <c r="G21" s="146">
        <f t="shared" si="7"/>
        <v>0.55112627917464563</v>
      </c>
      <c r="H21" s="145"/>
      <c r="I21" s="145"/>
      <c r="J21" s="141" t="s">
        <v>1024</v>
      </c>
      <c r="K21" s="147">
        <v>124</v>
      </c>
      <c r="L21" s="147">
        <v>127</v>
      </c>
      <c r="M21" s="147">
        <v>139</v>
      </c>
      <c r="N21" s="147">
        <v>165</v>
      </c>
      <c r="O21" s="145">
        <v>0.16</v>
      </c>
      <c r="P21" s="145">
        <v>0.16</v>
      </c>
      <c r="Q21" s="145">
        <v>0.18</v>
      </c>
      <c r="R21" s="145">
        <v>0.21</v>
      </c>
      <c r="S21" s="148">
        <f t="shared" si="8"/>
        <v>0.16</v>
      </c>
      <c r="T21" s="148">
        <f t="shared" si="9"/>
        <v>0.21</v>
      </c>
      <c r="U21" s="145"/>
      <c r="V21" s="141" t="s">
        <v>1015</v>
      </c>
      <c r="W21" s="149">
        <v>1621</v>
      </c>
      <c r="X21" s="149">
        <v>4839</v>
      </c>
      <c r="Y21" s="149">
        <f t="shared" si="2"/>
        <v>7224.9127372856401</v>
      </c>
      <c r="Z21" s="150">
        <f t="shared" si="10"/>
        <v>0.2243625714168834</v>
      </c>
      <c r="AA21" s="150">
        <f t="shared" si="11"/>
        <v>0.66976587482189931</v>
      </c>
      <c r="AC21" s="29" t="s">
        <v>1013</v>
      </c>
      <c r="AD21" s="28">
        <v>1889</v>
      </c>
      <c r="AE21" s="136">
        <v>965</v>
      </c>
      <c r="AF21" s="136">
        <v>2396</v>
      </c>
      <c r="AG21" s="137">
        <f t="shared" si="3"/>
        <v>3552.068143</v>
      </c>
      <c r="AH21" s="138">
        <f t="shared" si="4"/>
        <v>0.53180286074258454</v>
      </c>
      <c r="AI21" s="138">
        <f t="shared" si="12"/>
        <v>0.27167271604901755</v>
      </c>
      <c r="AJ21" s="138">
        <f t="shared" si="13"/>
        <v>0.67453660896730161</v>
      </c>
    </row>
    <row r="22" spans="1:36">
      <c r="A22" s="145" t="str">
        <f t="shared" si="14"/>
        <v>China</v>
      </c>
      <c r="D22" s="145">
        <f t="shared" si="0"/>
        <v>0.16395220864852342</v>
      </c>
      <c r="E22" s="145">
        <f t="shared" si="1"/>
        <v>0.6481168977852142</v>
      </c>
      <c r="F22" s="146">
        <f t="shared" si="6"/>
        <v>0.16395220864852342</v>
      </c>
      <c r="G22" s="146">
        <f t="shared" si="7"/>
        <v>0.6481168977852142</v>
      </c>
      <c r="H22" s="145"/>
      <c r="I22" s="145"/>
      <c r="J22" s="141" t="s">
        <v>147</v>
      </c>
      <c r="K22" s="147">
        <v>5076</v>
      </c>
      <c r="L22" s="147">
        <v>3650</v>
      </c>
      <c r="M22" s="147">
        <v>5669</v>
      </c>
      <c r="N22" s="147">
        <v>4896</v>
      </c>
      <c r="O22" s="145">
        <v>0.63</v>
      </c>
      <c r="P22" s="145">
        <v>0.45</v>
      </c>
      <c r="Q22" s="145">
        <v>0.71</v>
      </c>
      <c r="R22" s="145">
        <v>0.61</v>
      </c>
      <c r="S22" s="148">
        <f t="shared" si="8"/>
        <v>0.45</v>
      </c>
      <c r="T22" s="148">
        <f t="shared" si="9"/>
        <v>0.71</v>
      </c>
      <c r="U22" s="145"/>
      <c r="V22" s="141" t="s">
        <v>330</v>
      </c>
      <c r="W22" s="149">
        <v>2393</v>
      </c>
      <c r="X22" s="149">
        <v>7544</v>
      </c>
      <c r="Y22" s="149">
        <f t="shared" si="2"/>
        <v>12300.3867121004</v>
      </c>
      <c r="Z22" s="150">
        <f t="shared" si="10"/>
        <v>0.19454672897770822</v>
      </c>
      <c r="AA22" s="150">
        <f t="shared" si="11"/>
        <v>0.61331405073457201</v>
      </c>
      <c r="AC22" s="29" t="s">
        <v>1023</v>
      </c>
      <c r="AD22" s="28">
        <v>5562</v>
      </c>
      <c r="AE22" s="136">
        <v>4057</v>
      </c>
      <c r="AF22" s="136">
        <v>9788</v>
      </c>
      <c r="AG22" s="137">
        <f t="shared" si="3"/>
        <v>6119.7623450000001</v>
      </c>
      <c r="AH22" s="138">
        <f t="shared" si="4"/>
        <v>0.90885882268684737</v>
      </c>
      <c r="AI22" s="138">
        <f t="shared" si="12"/>
        <v>0.66293424013673852</v>
      </c>
      <c r="AJ22" s="138">
        <f t="shared" si="13"/>
        <v>1.5994085142860233</v>
      </c>
    </row>
    <row r="23" spans="1:36">
      <c r="A23" s="145" t="str">
        <f t="shared" si="14"/>
        <v>Colombia</v>
      </c>
      <c r="D23" s="145">
        <f t="shared" si="0"/>
        <v>0.16670017209696561</v>
      </c>
      <c r="E23" s="145">
        <f t="shared" si="1"/>
        <v>0.67142448878179284</v>
      </c>
      <c r="F23" s="146">
        <f t="shared" si="6"/>
        <v>0.16670017209696561</v>
      </c>
      <c r="G23" s="146">
        <f t="shared" si="7"/>
        <v>0.67142448878179284</v>
      </c>
      <c r="H23" s="145"/>
      <c r="I23" s="145"/>
      <c r="J23" s="141" t="s">
        <v>421</v>
      </c>
      <c r="K23" s="147">
        <v>9555</v>
      </c>
      <c r="L23" s="147">
        <v>7067</v>
      </c>
      <c r="M23" s="147">
        <v>11459</v>
      </c>
      <c r="N23" s="147">
        <v>9484</v>
      </c>
      <c r="O23" s="145">
        <v>1.58</v>
      </c>
      <c r="P23" s="145">
        <v>1.17</v>
      </c>
      <c r="Q23" s="145">
        <v>1.89</v>
      </c>
      <c r="R23" s="145">
        <v>1.57</v>
      </c>
      <c r="S23" s="148">
        <f t="shared" si="8"/>
        <v>1.17</v>
      </c>
      <c r="T23" s="148">
        <f t="shared" si="9"/>
        <v>1.89</v>
      </c>
      <c r="U23" s="145"/>
      <c r="V23" s="141" t="s">
        <v>1025</v>
      </c>
      <c r="W23" s="149">
        <v>16065</v>
      </c>
      <c r="X23" s="149">
        <v>39294</v>
      </c>
      <c r="Y23" s="149">
        <f t="shared" si="2"/>
        <v>44740.859424435497</v>
      </c>
      <c r="Z23" s="150">
        <f t="shared" si="10"/>
        <v>0.35906775611078229</v>
      </c>
      <c r="AA23" s="150">
        <f t="shared" si="11"/>
        <v>0.87825760402222719</v>
      </c>
      <c r="AC23" s="29" t="s">
        <v>1015</v>
      </c>
      <c r="AD23" s="28">
        <v>4875</v>
      </c>
      <c r="AE23" s="136">
        <v>3556</v>
      </c>
      <c r="AF23" s="136">
        <v>8580</v>
      </c>
      <c r="AG23" s="137">
        <f t="shared" si="3"/>
        <v>7203.0642209999996</v>
      </c>
      <c r="AH23" s="138">
        <f t="shared" si="4"/>
        <v>0.67679529856020149</v>
      </c>
      <c r="AI23" s="138">
        <f t="shared" si="12"/>
        <v>0.49367878598565673</v>
      </c>
      <c r="AJ23" s="138">
        <f t="shared" si="13"/>
        <v>1.1911597254659547</v>
      </c>
    </row>
    <row r="24" spans="1:36">
      <c r="A24" s="145" t="str">
        <f t="shared" si="14"/>
        <v>Comoros</v>
      </c>
      <c r="D24" s="145">
        <f t="shared" si="0"/>
        <v>1.2621755997824056E-2</v>
      </c>
      <c r="E24" s="145">
        <f t="shared" si="1"/>
        <v>0.30026493215876177</v>
      </c>
      <c r="F24" s="146">
        <f t="shared" si="6"/>
        <v>1.2621755997824056E-2</v>
      </c>
      <c r="G24" s="146">
        <f t="shared" si="7"/>
        <v>0.30026493215876177</v>
      </c>
      <c r="H24" s="145"/>
      <c r="I24" s="145"/>
      <c r="J24" s="141" t="s">
        <v>1026</v>
      </c>
      <c r="K24" s="147">
        <v>240</v>
      </c>
      <c r="L24" s="147">
        <v>233</v>
      </c>
      <c r="M24" s="147">
        <v>307</v>
      </c>
      <c r="N24" s="147">
        <v>311</v>
      </c>
      <c r="O24" s="145">
        <v>0.33</v>
      </c>
      <c r="P24" s="145">
        <v>0.33</v>
      </c>
      <c r="Q24" s="145">
        <v>0.43</v>
      </c>
      <c r="R24" s="145">
        <v>0.43</v>
      </c>
      <c r="S24" s="148">
        <f t="shared" si="8"/>
        <v>0.33</v>
      </c>
      <c r="T24" s="148">
        <f t="shared" si="9"/>
        <v>0.43</v>
      </c>
      <c r="U24" s="145"/>
      <c r="V24" s="141" t="s">
        <v>1016</v>
      </c>
      <c r="W24" s="149">
        <v>1720</v>
      </c>
      <c r="X24" s="149">
        <v>5025</v>
      </c>
      <c r="Y24" s="149">
        <f t="shared" si="2"/>
        <v>7681.9346199588199</v>
      </c>
      <c r="Z24" s="150">
        <f t="shared" si="10"/>
        <v>0.22390193162164929</v>
      </c>
      <c r="AA24" s="150">
        <f t="shared" si="11"/>
        <v>0.65413209674348116</v>
      </c>
      <c r="AC24" s="29" t="s">
        <v>330</v>
      </c>
      <c r="AD24" s="28">
        <v>8462</v>
      </c>
      <c r="AE24" s="136">
        <v>6173</v>
      </c>
      <c r="AF24" s="136">
        <v>14894</v>
      </c>
      <c r="AG24" s="137">
        <f t="shared" si="3"/>
        <v>8897.5529659999993</v>
      </c>
      <c r="AH24" s="138">
        <f t="shared" si="4"/>
        <v>0.95104800525893274</v>
      </c>
      <c r="AI24" s="138">
        <f t="shared" si="12"/>
        <v>0.69378626051328196</v>
      </c>
      <c r="AJ24" s="138">
        <f t="shared" si="13"/>
        <v>1.6739433928535268</v>
      </c>
    </row>
    <row r="25" spans="1:36">
      <c r="A25" s="145" t="str">
        <f t="shared" si="14"/>
        <v>Congo</v>
      </c>
      <c r="D25" s="145" t="e">
        <f t="shared" si="0"/>
        <v>#N/A</v>
      </c>
      <c r="E25" s="145" t="e">
        <f t="shared" si="1"/>
        <v>#N/A</v>
      </c>
      <c r="F25" s="146" t="e">
        <f t="shared" si="6"/>
        <v>#N/A</v>
      </c>
      <c r="G25" s="146" t="e">
        <f t="shared" si="7"/>
        <v>#N/A</v>
      </c>
      <c r="H25" s="145"/>
      <c r="I25" s="145"/>
      <c r="J25" s="141" t="s">
        <v>1027</v>
      </c>
      <c r="K25" s="147">
        <v>1366</v>
      </c>
      <c r="L25" s="147">
        <v>1235</v>
      </c>
      <c r="M25" s="147">
        <v>1537</v>
      </c>
      <c r="N25" s="147">
        <v>1613</v>
      </c>
      <c r="O25" s="145">
        <v>0.74</v>
      </c>
      <c r="P25" s="145">
        <v>0.67</v>
      </c>
      <c r="Q25" s="145">
        <v>0.83</v>
      </c>
      <c r="R25" s="145">
        <v>0.87</v>
      </c>
      <c r="S25" s="148">
        <f t="shared" si="8"/>
        <v>0.67</v>
      </c>
      <c r="T25" s="148">
        <f t="shared" si="9"/>
        <v>0.87</v>
      </c>
      <c r="U25" s="145"/>
      <c r="V25" s="141" t="s">
        <v>1018</v>
      </c>
      <c r="W25" s="149">
        <v>17</v>
      </c>
      <c r="X25" s="149">
        <v>379</v>
      </c>
      <c r="Y25" s="149">
        <f t="shared" si="2"/>
        <v>787.46943830908504</v>
      </c>
      <c r="Z25" s="150">
        <f t="shared" si="10"/>
        <v>2.1588139390531405E-2</v>
      </c>
      <c r="AA25" s="150">
        <f t="shared" si="11"/>
        <v>0.48128851935361194</v>
      </c>
      <c r="AC25" s="29" t="s">
        <v>1025</v>
      </c>
      <c r="AD25" s="28">
        <v>5510</v>
      </c>
      <c r="AE25" s="136">
        <v>4690</v>
      </c>
      <c r="AF25" s="136">
        <v>6901</v>
      </c>
      <c r="AG25" s="137">
        <f t="shared" si="3"/>
        <v>31085.961930000001</v>
      </c>
      <c r="AH25" s="138">
        <f t="shared" si="4"/>
        <v>0.17725042617009987</v>
      </c>
      <c r="AI25" s="138">
        <f t="shared" si="12"/>
        <v>0.15087195984351512</v>
      </c>
      <c r="AJ25" s="138">
        <f t="shared" si="13"/>
        <v>0.22199731234117226</v>
      </c>
    </row>
    <row r="26" spans="1:36">
      <c r="A26" s="145" t="str">
        <f t="shared" si="14"/>
        <v>Costa Rica</v>
      </c>
      <c r="D26" s="145">
        <f t="shared" si="0"/>
        <v>0.18670727904924481</v>
      </c>
      <c r="E26" s="145">
        <f t="shared" si="1"/>
        <v>0.65403392317001152</v>
      </c>
      <c r="F26" s="146">
        <f t="shared" si="6"/>
        <v>0.18670727904924481</v>
      </c>
      <c r="G26" s="146">
        <f t="shared" si="7"/>
        <v>0.65403392317001152</v>
      </c>
      <c r="H26" s="145"/>
      <c r="I26" s="145"/>
      <c r="J26" s="141" t="s">
        <v>1028</v>
      </c>
      <c r="K26" s="147">
        <v>18262</v>
      </c>
      <c r="L26" s="147">
        <v>12473</v>
      </c>
      <c r="M26" s="147">
        <v>21327</v>
      </c>
      <c r="N26" s="147">
        <v>16739</v>
      </c>
      <c r="O26" s="145">
        <v>1.62</v>
      </c>
      <c r="P26" s="145">
        <v>1.1100000000000001</v>
      </c>
      <c r="Q26" s="145">
        <v>1.89</v>
      </c>
      <c r="R26" s="145">
        <v>1.49</v>
      </c>
      <c r="S26" s="148">
        <f t="shared" si="8"/>
        <v>1.1100000000000001</v>
      </c>
      <c r="T26" s="148">
        <f t="shared" si="9"/>
        <v>1.89</v>
      </c>
      <c r="U26" s="145"/>
      <c r="V26" s="141" t="s">
        <v>1019</v>
      </c>
      <c r="W26" s="149">
        <v>3</v>
      </c>
      <c r="X26" s="149">
        <v>137</v>
      </c>
      <c r="Y26" s="149">
        <f t="shared" si="2"/>
        <v>256.97565263089598</v>
      </c>
      <c r="Z26" s="150">
        <f t="shared" si="10"/>
        <v>1.1674257733315364E-2</v>
      </c>
      <c r="AA26" s="150">
        <f t="shared" si="11"/>
        <v>0.53312443648806829</v>
      </c>
      <c r="AC26" s="29" t="s">
        <v>1016</v>
      </c>
      <c r="AD26" s="28">
        <v>6691</v>
      </c>
      <c r="AE26" s="136">
        <v>4881</v>
      </c>
      <c r="AF26" s="136">
        <v>11776</v>
      </c>
      <c r="AG26" s="137">
        <f t="shared" si="3"/>
        <v>9879.2685330000004</v>
      </c>
      <c r="AH26" s="138">
        <f t="shared" si="4"/>
        <v>0.67727686292258005</v>
      </c>
      <c r="AI26" s="138">
        <f t="shared" si="12"/>
        <v>0.49406491823720122</v>
      </c>
      <c r="AJ26" s="138">
        <f t="shared" si="13"/>
        <v>1.191991083212719</v>
      </c>
    </row>
    <row r="27" spans="1:36">
      <c r="A27" s="145" t="str">
        <f t="shared" si="14"/>
        <v>Cote d'Ivoire</v>
      </c>
      <c r="D27" s="145">
        <f t="shared" si="0"/>
        <v>3.1509129575469669E-2</v>
      </c>
      <c r="E27" s="145">
        <f t="shared" si="1"/>
        <v>0.38069227044460896</v>
      </c>
      <c r="F27" s="146">
        <f t="shared" si="6"/>
        <v>3.1509129575469669E-2</v>
      </c>
      <c r="G27" s="146">
        <f t="shared" si="7"/>
        <v>0.38069227044460896</v>
      </c>
      <c r="H27" s="145"/>
      <c r="I27" s="145"/>
      <c r="J27" s="141" t="s">
        <v>1029</v>
      </c>
      <c r="K27" s="147">
        <v>214</v>
      </c>
      <c r="L27" s="147">
        <v>205</v>
      </c>
      <c r="M27" s="147">
        <v>236</v>
      </c>
      <c r="N27" s="147">
        <v>268</v>
      </c>
      <c r="O27" s="145">
        <v>0.15</v>
      </c>
      <c r="P27" s="145">
        <v>0.15</v>
      </c>
      <c r="Q27" s="145">
        <v>0.17</v>
      </c>
      <c r="R27" s="145">
        <v>0.19</v>
      </c>
      <c r="S27" s="148">
        <f t="shared" si="8"/>
        <v>0.15</v>
      </c>
      <c r="T27" s="148">
        <f t="shared" si="9"/>
        <v>0.19</v>
      </c>
      <c r="U27" s="145"/>
      <c r="V27" s="141" t="s">
        <v>1030</v>
      </c>
      <c r="W27" s="149">
        <v>343</v>
      </c>
      <c r="X27" s="149">
        <v>1935</v>
      </c>
      <c r="Y27" s="149">
        <f t="shared" si="2"/>
        <v>3616.0355696893198</v>
      </c>
      <c r="Z27" s="150">
        <f t="shared" si="10"/>
        <v>9.4855261622736095E-2</v>
      </c>
      <c r="AA27" s="150">
        <f t="shared" si="11"/>
        <v>0.53511641760931294</v>
      </c>
      <c r="AC27" s="29" t="s">
        <v>1018</v>
      </c>
      <c r="AD27" s="28">
        <v>183</v>
      </c>
      <c r="AE27" s="136">
        <v>57</v>
      </c>
      <c r="AF27" s="136">
        <v>287</v>
      </c>
      <c r="AG27" s="137">
        <f t="shared" si="3"/>
        <v>796.11520680000001</v>
      </c>
      <c r="AH27" s="138">
        <f t="shared" si="4"/>
        <v>0.22986622845149754</v>
      </c>
      <c r="AI27" s="138">
        <f t="shared" si="12"/>
        <v>7.159767771440087E-2</v>
      </c>
      <c r="AJ27" s="138">
        <f t="shared" si="13"/>
        <v>0.36050058779005351</v>
      </c>
    </row>
    <row r="28" spans="1:36">
      <c r="A28" s="145" t="str">
        <f t="shared" si="14"/>
        <v>Democratic Republic of the Congo</v>
      </c>
      <c r="D28" s="145" t="e">
        <f t="shared" si="0"/>
        <v>#N/A</v>
      </c>
      <c r="E28" s="145" t="e">
        <f t="shared" si="1"/>
        <v>#N/A</v>
      </c>
      <c r="F28" s="146" t="e">
        <f t="shared" si="6"/>
        <v>#N/A</v>
      </c>
      <c r="G28" s="146" t="e">
        <f t="shared" si="7"/>
        <v>#N/A</v>
      </c>
      <c r="H28" s="145"/>
      <c r="I28" s="145"/>
      <c r="J28" s="141" t="s">
        <v>1031</v>
      </c>
      <c r="K28" s="147">
        <v>54</v>
      </c>
      <c r="L28" s="147">
        <v>54</v>
      </c>
      <c r="M28" s="147">
        <v>64</v>
      </c>
      <c r="N28" s="147">
        <v>69</v>
      </c>
      <c r="O28" s="145">
        <v>0.12</v>
      </c>
      <c r="P28" s="145">
        <v>0.12</v>
      </c>
      <c r="Q28" s="145">
        <v>0.14000000000000001</v>
      </c>
      <c r="R28" s="145">
        <v>0.15</v>
      </c>
      <c r="S28" s="148">
        <f t="shared" si="8"/>
        <v>0.12</v>
      </c>
      <c r="T28" s="148">
        <f t="shared" si="9"/>
        <v>0.15</v>
      </c>
      <c r="U28" s="145"/>
      <c r="V28" s="141" t="s">
        <v>1020</v>
      </c>
      <c r="W28" s="149">
        <v>44</v>
      </c>
      <c r="X28" s="149">
        <v>518</v>
      </c>
      <c r="Y28" s="149">
        <f t="shared" si="2"/>
        <v>1013.4205355013499</v>
      </c>
      <c r="Z28" s="150">
        <f t="shared" si="10"/>
        <v>4.3417316364358784E-2</v>
      </c>
      <c r="AA28" s="150">
        <f t="shared" si="11"/>
        <v>0.51114022447131469</v>
      </c>
      <c r="AC28" s="29" t="s">
        <v>1019</v>
      </c>
      <c r="AD28" s="28">
        <v>88</v>
      </c>
      <c r="AE28" s="136">
        <v>28</v>
      </c>
      <c r="AF28" s="136">
        <v>138</v>
      </c>
      <c r="AG28" s="137">
        <f t="shared" si="3"/>
        <v>228.2135892</v>
      </c>
      <c r="AH28" s="138">
        <f t="shared" si="4"/>
        <v>0.38560368078203822</v>
      </c>
      <c r="AI28" s="138">
        <f t="shared" si="12"/>
        <v>0.12269208024883034</v>
      </c>
      <c r="AJ28" s="138">
        <f t="shared" si="13"/>
        <v>0.6046966812263781</v>
      </c>
    </row>
    <row r="29" spans="1:36">
      <c r="A29" s="145" t="str">
        <f t="shared" si="14"/>
        <v>Dominican Republic</v>
      </c>
      <c r="D29" s="145">
        <f t="shared" si="0"/>
        <v>0.15020521286456096</v>
      </c>
      <c r="E29" s="145">
        <f t="shared" si="1"/>
        <v>0.58911863103229611</v>
      </c>
      <c r="F29" s="146">
        <f t="shared" si="6"/>
        <v>0.15020521286456096</v>
      </c>
      <c r="G29" s="146">
        <f t="shared" si="7"/>
        <v>0.58911863103229611</v>
      </c>
      <c r="H29" s="145"/>
      <c r="I29" s="145"/>
      <c r="J29" s="141" t="s">
        <v>1032</v>
      </c>
      <c r="K29" s="147">
        <v>4045</v>
      </c>
      <c r="L29" s="147">
        <v>2731</v>
      </c>
      <c r="M29" s="147">
        <v>4005</v>
      </c>
      <c r="N29" s="147">
        <v>3594</v>
      </c>
      <c r="O29" s="145">
        <v>0.63</v>
      </c>
      <c r="P29" s="145">
        <v>0.42</v>
      </c>
      <c r="Q29" s="145">
        <v>0.62</v>
      </c>
      <c r="R29" s="145">
        <v>0.56000000000000005</v>
      </c>
      <c r="S29" s="148">
        <f t="shared" si="8"/>
        <v>0.42</v>
      </c>
      <c r="T29" s="148">
        <f t="shared" si="9"/>
        <v>0.63</v>
      </c>
      <c r="U29" s="145"/>
      <c r="V29" s="141" t="s">
        <v>1021</v>
      </c>
      <c r="W29" s="149">
        <v>49</v>
      </c>
      <c r="X29" s="149">
        <v>654</v>
      </c>
      <c r="Y29" s="149">
        <f t="shared" si="2"/>
        <v>1527.7512566795399</v>
      </c>
      <c r="Z29" s="150">
        <f t="shared" si="10"/>
        <v>3.2073284041341951E-2</v>
      </c>
      <c r="AA29" s="150">
        <f t="shared" si="11"/>
        <v>0.42808015842933955</v>
      </c>
      <c r="AC29" s="29" t="s">
        <v>1030</v>
      </c>
      <c r="AD29" s="28">
        <v>1389</v>
      </c>
      <c r="AE29" s="136">
        <v>709</v>
      </c>
      <c r="AF29" s="136">
        <v>1762</v>
      </c>
      <c r="AG29" s="137">
        <f t="shared" si="3"/>
        <v>3603.7752409999998</v>
      </c>
      <c r="AH29" s="138">
        <f t="shared" si="4"/>
        <v>0.38542914224988428</v>
      </c>
      <c r="AI29" s="138">
        <f t="shared" si="12"/>
        <v>0.1967381294853621</v>
      </c>
      <c r="AJ29" s="138">
        <f t="shared" si="13"/>
        <v>0.48893171248689427</v>
      </c>
    </row>
    <row r="30" spans="1:36">
      <c r="A30" s="145" t="str">
        <f t="shared" si="14"/>
        <v>Ecuador</v>
      </c>
      <c r="D30" s="145">
        <f t="shared" si="0"/>
        <v>0.14166992687317431</v>
      </c>
      <c r="E30" s="145">
        <f t="shared" si="1"/>
        <v>0.52688663945489422</v>
      </c>
      <c r="F30" s="146">
        <f t="shared" si="6"/>
        <v>0.14166992687317431</v>
      </c>
      <c r="G30" s="146">
        <f t="shared" si="7"/>
        <v>0.52688663945489422</v>
      </c>
      <c r="H30" s="145"/>
      <c r="I30" s="145"/>
      <c r="J30" s="141" t="s">
        <v>559</v>
      </c>
      <c r="K30" s="147">
        <v>5796</v>
      </c>
      <c r="L30" s="147">
        <v>4479</v>
      </c>
      <c r="M30" s="147">
        <v>6965</v>
      </c>
      <c r="N30" s="147">
        <v>5991</v>
      </c>
      <c r="O30" s="145">
        <v>0.93</v>
      </c>
      <c r="P30" s="145">
        <v>0.72</v>
      </c>
      <c r="Q30" s="145">
        <v>1.1200000000000001</v>
      </c>
      <c r="R30" s="145">
        <v>0.97</v>
      </c>
      <c r="S30" s="148">
        <f t="shared" si="8"/>
        <v>0.72</v>
      </c>
      <c r="T30" s="148">
        <f t="shared" si="9"/>
        <v>1.1200000000000001</v>
      </c>
      <c r="U30" s="145"/>
      <c r="V30" s="141" t="s">
        <v>1033</v>
      </c>
      <c r="W30" s="149">
        <v>25292</v>
      </c>
      <c r="X30" s="149">
        <v>31915</v>
      </c>
      <c r="Y30" s="149">
        <f t="shared" si="2"/>
        <v>52635.174958043302</v>
      </c>
      <c r="Z30" s="150">
        <f t="shared" si="10"/>
        <v>0.48051516918412124</v>
      </c>
      <c r="AA30" s="150">
        <f t="shared" si="11"/>
        <v>0.6063435720588024</v>
      </c>
      <c r="AC30" s="29" t="s">
        <v>1020</v>
      </c>
      <c r="AD30" s="28">
        <v>854</v>
      </c>
      <c r="AE30" s="136">
        <v>436</v>
      </c>
      <c r="AF30" s="136">
        <v>1083</v>
      </c>
      <c r="AG30" s="137">
        <f t="shared" si="3"/>
        <v>1643.1213889999999</v>
      </c>
      <c r="AH30" s="138">
        <f t="shared" si="4"/>
        <v>0.51974248872734996</v>
      </c>
      <c r="AI30" s="138">
        <f t="shared" si="12"/>
        <v>0.26534862422145733</v>
      </c>
      <c r="AJ30" s="138">
        <f t="shared" si="13"/>
        <v>0.65911137621981264</v>
      </c>
    </row>
    <row r="31" spans="1:36">
      <c r="A31" s="145" t="str">
        <f t="shared" si="14"/>
        <v>Egypt, Arab Rep.</v>
      </c>
      <c r="D31" s="145">
        <f t="shared" si="0"/>
        <v>0.1599922719946246</v>
      </c>
      <c r="E31" s="145">
        <f t="shared" si="1"/>
        <v>0.61085172046989811</v>
      </c>
      <c r="F31" s="146">
        <f t="shared" si="6"/>
        <v>0.1599922719946246</v>
      </c>
      <c r="G31" s="146">
        <f t="shared" si="7"/>
        <v>0.61085172046989811</v>
      </c>
      <c r="H31" s="145"/>
      <c r="I31" s="145"/>
      <c r="J31" s="30" t="s">
        <v>398</v>
      </c>
      <c r="K31" s="147">
        <v>1194</v>
      </c>
      <c r="L31" s="147">
        <v>977</v>
      </c>
      <c r="M31" s="147">
        <v>1474</v>
      </c>
      <c r="N31" s="147">
        <v>1301</v>
      </c>
      <c r="O31" s="145">
        <v>0.33</v>
      </c>
      <c r="P31" s="145">
        <v>0.27</v>
      </c>
      <c r="Q31" s="145">
        <v>0.41</v>
      </c>
      <c r="R31" s="145">
        <v>0.36</v>
      </c>
      <c r="S31" s="148">
        <f t="shared" si="8"/>
        <v>0.27</v>
      </c>
      <c r="T31" s="148">
        <f t="shared" si="9"/>
        <v>0.41</v>
      </c>
      <c r="U31" s="145"/>
      <c r="V31" s="141" t="s">
        <v>1034</v>
      </c>
      <c r="W31" s="149">
        <v>3</v>
      </c>
      <c r="X31" s="149">
        <v>171</v>
      </c>
      <c r="Y31" s="149">
        <f t="shared" si="2"/>
        <v>380.29791114378003</v>
      </c>
      <c r="Z31" s="150">
        <f t="shared" si="10"/>
        <v>7.8885524008723354E-3</v>
      </c>
      <c r="AA31" s="150">
        <f t="shared" si="11"/>
        <v>0.44964748684972311</v>
      </c>
      <c r="AC31" s="29" t="s">
        <v>1021</v>
      </c>
      <c r="AD31" s="28">
        <v>331</v>
      </c>
      <c r="AE31" s="136">
        <v>169</v>
      </c>
      <c r="AF31" s="136">
        <v>420</v>
      </c>
      <c r="AG31" s="137">
        <f t="shared" si="3"/>
        <v>1533.0956880000001</v>
      </c>
      <c r="AH31" s="138">
        <f t="shared" si="4"/>
        <v>0.21590302718273641</v>
      </c>
      <c r="AI31" s="138">
        <f t="shared" si="12"/>
        <v>0.1102344761144485</v>
      </c>
      <c r="AJ31" s="138">
        <f t="shared" si="13"/>
        <v>0.27395550276963532</v>
      </c>
    </row>
    <row r="32" spans="1:36">
      <c r="A32" s="145" t="str">
        <f t="shared" si="14"/>
        <v>El Salvador</v>
      </c>
      <c r="D32" s="145">
        <f t="shared" si="0"/>
        <v>0.12024413995569104</v>
      </c>
      <c r="E32" s="145">
        <f t="shared" si="1"/>
        <v>0.56047446277925184</v>
      </c>
      <c r="F32" s="146">
        <f t="shared" si="6"/>
        <v>0.12024413995569104</v>
      </c>
      <c r="G32" s="146">
        <f t="shared" si="7"/>
        <v>0.56047446277925184</v>
      </c>
      <c r="H32" s="145"/>
      <c r="I32" s="145"/>
      <c r="J32" s="141" t="s">
        <v>1035</v>
      </c>
      <c r="K32" s="147">
        <v>3832</v>
      </c>
      <c r="L32" s="147">
        <v>2573</v>
      </c>
      <c r="M32" s="147">
        <v>3753</v>
      </c>
      <c r="N32" s="147">
        <v>3424</v>
      </c>
      <c r="O32" s="145">
        <v>0.91</v>
      </c>
      <c r="P32" s="145">
        <v>0.61</v>
      </c>
      <c r="Q32" s="145">
        <v>0.89</v>
      </c>
      <c r="R32" s="145">
        <v>0.81</v>
      </c>
      <c r="S32" s="148">
        <f t="shared" si="8"/>
        <v>0.61</v>
      </c>
      <c r="T32" s="148">
        <f t="shared" si="9"/>
        <v>0.91</v>
      </c>
      <c r="U32" s="145"/>
      <c r="V32" s="141" t="s">
        <v>1024</v>
      </c>
      <c r="W32" s="149">
        <v>31</v>
      </c>
      <c r="X32" s="149">
        <v>540</v>
      </c>
      <c r="Y32" s="149">
        <f t="shared" si="2"/>
        <v>979.81174261675903</v>
      </c>
      <c r="Z32" s="150">
        <f t="shared" si="10"/>
        <v>3.1638730841507437E-2</v>
      </c>
      <c r="AA32" s="150">
        <f t="shared" si="11"/>
        <v>0.55112627917464563</v>
      </c>
      <c r="AC32" s="29" t="s">
        <v>1033</v>
      </c>
      <c r="AD32" s="28">
        <v>44638</v>
      </c>
      <c r="AE32" s="136">
        <v>37992</v>
      </c>
      <c r="AF32" s="136">
        <v>55907</v>
      </c>
      <c r="AG32" s="137">
        <f t="shared" si="3"/>
        <v>46326.672639999997</v>
      </c>
      <c r="AH32" s="138">
        <f t="shared" si="4"/>
        <v>0.96354858780550667</v>
      </c>
      <c r="AI32" s="138">
        <f t="shared" si="12"/>
        <v>0.82008911572890386</v>
      </c>
      <c r="AJ32" s="138">
        <f t="shared" si="13"/>
        <v>1.2067993838980793</v>
      </c>
    </row>
    <row r="33" spans="1:36">
      <c r="A33" s="145" t="str">
        <f t="shared" si="14"/>
        <v>Eritrea</v>
      </c>
      <c r="D33" s="145" t="e">
        <f t="shared" si="0"/>
        <v>#DIV/0!</v>
      </c>
      <c r="E33" s="145" t="e">
        <f t="shared" si="1"/>
        <v>#DIV/0!</v>
      </c>
      <c r="F33" s="146" t="e">
        <f t="shared" si="6"/>
        <v>#DIV/0!</v>
      </c>
      <c r="G33" s="146" t="e">
        <f t="shared" si="7"/>
        <v>#DIV/0!</v>
      </c>
      <c r="H33" s="145"/>
      <c r="I33" s="145"/>
      <c r="J33" s="141" t="s">
        <v>1036</v>
      </c>
      <c r="K33" s="147">
        <v>120</v>
      </c>
      <c r="L33" s="147">
        <v>112</v>
      </c>
      <c r="M33" s="147">
        <v>137</v>
      </c>
      <c r="N33" s="147">
        <v>147</v>
      </c>
      <c r="O33" s="145">
        <v>0.22</v>
      </c>
      <c r="P33" s="145">
        <v>0.21</v>
      </c>
      <c r="Q33" s="145">
        <v>0.25</v>
      </c>
      <c r="R33" s="145">
        <v>0.27</v>
      </c>
      <c r="S33" s="148">
        <f t="shared" si="8"/>
        <v>0.21</v>
      </c>
      <c r="T33" s="148">
        <f t="shared" si="9"/>
        <v>0.27</v>
      </c>
      <c r="U33" s="145"/>
      <c r="V33" s="141" t="s">
        <v>1037</v>
      </c>
      <c r="W33" s="149">
        <v>4896</v>
      </c>
      <c r="X33" s="149">
        <v>9436</v>
      </c>
      <c r="Y33" s="149">
        <f t="shared" si="2"/>
        <v>15842.9364836273</v>
      </c>
      <c r="Z33" s="150">
        <f t="shared" si="10"/>
        <v>0.30903361918162803</v>
      </c>
      <c r="AA33" s="150">
        <f t="shared" si="11"/>
        <v>0.59559665657635663</v>
      </c>
      <c r="AC33" s="29" t="s">
        <v>1034</v>
      </c>
      <c r="AD33" s="28">
        <v>142</v>
      </c>
      <c r="AE33" s="136">
        <v>45</v>
      </c>
      <c r="AF33" s="136">
        <v>224</v>
      </c>
      <c r="AG33" s="137">
        <f t="shared" si="3"/>
        <v>467.9080323</v>
      </c>
      <c r="AH33" s="138">
        <f t="shared" si="4"/>
        <v>0.30347844062859869</v>
      </c>
      <c r="AI33" s="138">
        <f t="shared" si="12"/>
        <v>9.6172745269626353E-2</v>
      </c>
      <c r="AJ33" s="138">
        <f t="shared" si="13"/>
        <v>0.47872655423102894</v>
      </c>
    </row>
    <row r="34" spans="1:36">
      <c r="A34" s="145" t="str">
        <f t="shared" si="14"/>
        <v>Ethiopia</v>
      </c>
      <c r="D34" s="145">
        <f t="shared" si="0"/>
        <v>2.0018756367015229E-2</v>
      </c>
      <c r="E34" s="145">
        <f t="shared" si="1"/>
        <v>0.51047828735888834</v>
      </c>
      <c r="F34" s="146">
        <f t="shared" si="6"/>
        <v>2.0018756367015229E-2</v>
      </c>
      <c r="G34" s="146">
        <f t="shared" si="7"/>
        <v>0.51047828735888834</v>
      </c>
      <c r="H34" s="145"/>
      <c r="I34" s="145"/>
      <c r="J34" s="141" t="s">
        <v>428</v>
      </c>
      <c r="K34" s="147">
        <v>176</v>
      </c>
      <c r="L34" s="147">
        <v>167</v>
      </c>
      <c r="M34" s="147">
        <v>206</v>
      </c>
      <c r="N34" s="147">
        <v>221</v>
      </c>
      <c r="O34" s="145">
        <v>0.28000000000000003</v>
      </c>
      <c r="P34" s="145">
        <v>0.27</v>
      </c>
      <c r="Q34" s="145">
        <v>0.33</v>
      </c>
      <c r="R34" s="145">
        <v>0.36</v>
      </c>
      <c r="S34" s="148">
        <f t="shared" si="8"/>
        <v>0.27</v>
      </c>
      <c r="T34" s="148">
        <f t="shared" si="9"/>
        <v>0.36</v>
      </c>
      <c r="U34" s="145"/>
      <c r="V34" s="141" t="s">
        <v>147</v>
      </c>
      <c r="W34" s="149">
        <v>1151</v>
      </c>
      <c r="X34" s="149">
        <v>4550</v>
      </c>
      <c r="Y34" s="149">
        <f t="shared" si="2"/>
        <v>7020.3384845365799</v>
      </c>
      <c r="Z34" s="150">
        <f t="shared" si="10"/>
        <v>0.16395220864852342</v>
      </c>
      <c r="AA34" s="150">
        <f t="shared" si="11"/>
        <v>0.6481168977852142</v>
      </c>
      <c r="AC34" s="29" t="s">
        <v>1024</v>
      </c>
      <c r="AD34" s="28">
        <v>105</v>
      </c>
      <c r="AE34" s="136">
        <v>33</v>
      </c>
      <c r="AF34" s="136">
        <v>166</v>
      </c>
      <c r="AG34" s="137">
        <f t="shared" si="3"/>
        <v>709.54004320000001</v>
      </c>
      <c r="AH34" s="138">
        <f t="shared" si="4"/>
        <v>0.14798319137346186</v>
      </c>
      <c r="AI34" s="138">
        <f t="shared" si="12"/>
        <v>4.6509003003088016E-2</v>
      </c>
      <c r="AJ34" s="138">
        <f t="shared" si="13"/>
        <v>0.23395437874280636</v>
      </c>
    </row>
    <row r="35" spans="1:36">
      <c r="A35" s="145" t="str">
        <f t="shared" si="14"/>
        <v>Gabon</v>
      </c>
      <c r="D35" s="145">
        <f t="shared" ref="D35:D66" si="15">VLOOKUP(J35,$V$3:$AA$184,5,FALSE)</f>
        <v>0.32673861018783651</v>
      </c>
      <c r="E35" s="145">
        <f t="shared" ref="E35:E66" si="16">VLOOKUP(J35,$V$3:$AA$184,6,FALSE)</f>
        <v>0.74538536293799107</v>
      </c>
      <c r="F35" s="146">
        <f t="shared" si="6"/>
        <v>0.32673861018783651</v>
      </c>
      <c r="G35" s="146">
        <f t="shared" si="7"/>
        <v>0.74538536293799107</v>
      </c>
      <c r="H35" s="145"/>
      <c r="I35" s="145"/>
      <c r="J35" s="141" t="s">
        <v>1038</v>
      </c>
      <c r="K35" s="147">
        <v>2756</v>
      </c>
      <c r="L35" s="147">
        <v>2275</v>
      </c>
      <c r="M35" s="147">
        <v>3047</v>
      </c>
      <c r="N35" s="147">
        <v>2955</v>
      </c>
      <c r="O35" s="145">
        <v>0.33</v>
      </c>
      <c r="P35" s="145">
        <v>0.28000000000000003</v>
      </c>
      <c r="Q35" s="145">
        <v>0.37</v>
      </c>
      <c r="R35" s="145">
        <v>0.36</v>
      </c>
      <c r="S35" s="148">
        <f t="shared" ref="S35:S66" si="17">MIN(O35:R35)</f>
        <v>0.28000000000000003</v>
      </c>
      <c r="T35" s="148">
        <f t="shared" ref="T35:T66" si="18">MAX(O35:R35)</f>
        <v>0.37</v>
      </c>
      <c r="U35" s="145"/>
      <c r="V35" s="141" t="s">
        <v>421</v>
      </c>
      <c r="W35" s="149">
        <v>1370</v>
      </c>
      <c r="X35" s="149">
        <v>5518</v>
      </c>
      <c r="Y35" s="149">
        <f t="shared" ref="Y35:Y66" si="19">VLOOKUP(V35,gdppc,55,FALSE)</f>
        <v>8218.3478443147796</v>
      </c>
      <c r="Z35" s="150">
        <f t="shared" si="10"/>
        <v>0.16670017209696561</v>
      </c>
      <c r="AA35" s="150">
        <f t="shared" si="11"/>
        <v>0.67142448878179284</v>
      </c>
      <c r="AC35" s="29" t="s">
        <v>1037</v>
      </c>
      <c r="AD35" s="28">
        <v>11817</v>
      </c>
      <c r="AE35" s="136">
        <v>10058</v>
      </c>
      <c r="AF35" s="136">
        <v>14800</v>
      </c>
      <c r="AG35" s="137">
        <f t="shared" ref="AG35:AG66" si="20">VLOOKUP(AC35,gdppc,61,FALSE)</f>
        <v>14741.714400000001</v>
      </c>
      <c r="AH35" s="138">
        <f t="shared" ref="AH35:AH66" si="21">AD35/AG35</f>
        <v>0.80160283121480091</v>
      </c>
      <c r="AI35" s="138">
        <f t="shared" si="12"/>
        <v>0.68228156692548592</v>
      </c>
      <c r="AJ35" s="138">
        <f t="shared" si="13"/>
        <v>1.0039537870846282</v>
      </c>
    </row>
    <row r="36" spans="1:36">
      <c r="A36" s="145" t="str">
        <f t="shared" si="14"/>
        <v>Georgia</v>
      </c>
      <c r="D36" s="145">
        <f t="shared" si="15"/>
        <v>7.9156601982268524E-2</v>
      </c>
      <c r="E36" s="145">
        <f t="shared" si="16"/>
        <v>0.40010850728742287</v>
      </c>
      <c r="F36" s="146">
        <f t="shared" si="6"/>
        <v>7.9156601982268524E-2</v>
      </c>
      <c r="G36" s="146">
        <f t="shared" si="7"/>
        <v>0.40010850728742287</v>
      </c>
      <c r="H36" s="145"/>
      <c r="I36" s="145"/>
      <c r="J36" s="141" t="s">
        <v>494</v>
      </c>
      <c r="K36" s="147">
        <v>1044</v>
      </c>
      <c r="L36" s="147">
        <v>743</v>
      </c>
      <c r="M36" s="147">
        <v>1032</v>
      </c>
      <c r="N36" s="147">
        <v>981</v>
      </c>
      <c r="O36" s="145">
        <v>0.27</v>
      </c>
      <c r="P36" s="145">
        <v>0.2</v>
      </c>
      <c r="Q36" s="145">
        <v>0.27</v>
      </c>
      <c r="R36" s="145">
        <v>0.26</v>
      </c>
      <c r="S36" s="148">
        <f t="shared" si="17"/>
        <v>0.2</v>
      </c>
      <c r="T36" s="148">
        <f t="shared" si="18"/>
        <v>0.27</v>
      </c>
      <c r="U36" s="145"/>
      <c r="V36" s="141" t="s">
        <v>1026</v>
      </c>
      <c r="W36" s="149">
        <v>19</v>
      </c>
      <c r="X36" s="149">
        <v>452</v>
      </c>
      <c r="Y36" s="149">
        <f t="shared" si="19"/>
        <v>1505.3372924714699</v>
      </c>
      <c r="Z36" s="150">
        <f t="shared" si="10"/>
        <v>1.2621755997824056E-2</v>
      </c>
      <c r="AA36" s="150">
        <f t="shared" si="11"/>
        <v>0.30026493215876177</v>
      </c>
      <c r="AC36" s="29" t="s">
        <v>147</v>
      </c>
      <c r="AD36" s="28">
        <v>5203</v>
      </c>
      <c r="AE36" s="136">
        <v>3795</v>
      </c>
      <c r="AF36" s="136">
        <v>9157</v>
      </c>
      <c r="AG36" s="137">
        <f t="shared" si="20"/>
        <v>10143.838170000001</v>
      </c>
      <c r="AH36" s="138">
        <f t="shared" si="21"/>
        <v>0.51292222064303694</v>
      </c>
      <c r="AI36" s="138">
        <f t="shared" si="12"/>
        <v>0.37411874444365267</v>
      </c>
      <c r="AJ36" s="138">
        <f t="shared" si="13"/>
        <v>0.90271550536772804</v>
      </c>
    </row>
    <row r="37" spans="1:36">
      <c r="A37" s="145" t="str">
        <f t="shared" si="14"/>
        <v>Ghana</v>
      </c>
      <c r="D37" s="145">
        <f t="shared" si="15"/>
        <v>4.4047446617346976E-2</v>
      </c>
      <c r="E37" s="145">
        <f t="shared" si="16"/>
        <v>0.402780016664394</v>
      </c>
      <c r="F37" s="146">
        <f t="shared" si="6"/>
        <v>4.4047446617346976E-2</v>
      </c>
      <c r="G37" s="146">
        <f t="shared" si="7"/>
        <v>0.402780016664394</v>
      </c>
      <c r="H37" s="145"/>
      <c r="I37" s="145"/>
      <c r="J37" s="141" t="s">
        <v>1039</v>
      </c>
      <c r="K37" s="147">
        <v>411</v>
      </c>
      <c r="L37" s="147">
        <v>371</v>
      </c>
      <c r="M37" s="147">
        <v>460</v>
      </c>
      <c r="N37" s="147">
        <v>491</v>
      </c>
      <c r="O37" s="145">
        <v>0.3</v>
      </c>
      <c r="P37" s="145">
        <v>0.27</v>
      </c>
      <c r="Q37" s="145">
        <v>0.34</v>
      </c>
      <c r="R37" s="145">
        <v>0.36</v>
      </c>
      <c r="S37" s="148">
        <f t="shared" si="17"/>
        <v>0.27</v>
      </c>
      <c r="T37" s="148">
        <f t="shared" si="18"/>
        <v>0.36</v>
      </c>
      <c r="U37" s="145"/>
      <c r="V37" s="141" t="s">
        <v>1040</v>
      </c>
      <c r="W37" s="149">
        <v>5</v>
      </c>
      <c r="X37" s="149">
        <v>230</v>
      </c>
      <c r="Y37" s="149">
        <f t="shared" si="19"/>
        <v>457.96374750963201</v>
      </c>
      <c r="Z37" s="150">
        <f t="shared" si="10"/>
        <v>1.0917894761735127E-2</v>
      </c>
      <c r="AA37" s="150">
        <f t="shared" si="11"/>
        <v>0.50222315903981585</v>
      </c>
      <c r="AC37" s="29" t="s">
        <v>421</v>
      </c>
      <c r="AD37" s="28">
        <v>4832</v>
      </c>
      <c r="AE37" s="136">
        <v>3525</v>
      </c>
      <c r="AF37" s="136">
        <v>8505</v>
      </c>
      <c r="AG37" s="137">
        <f t="shared" si="20"/>
        <v>6424.9794920000004</v>
      </c>
      <c r="AH37" s="138">
        <f t="shared" si="21"/>
        <v>0.7520646573294929</v>
      </c>
      <c r="AI37" s="138">
        <f t="shared" si="12"/>
        <v>0.54863988350299309</v>
      </c>
      <c r="AJ37" s="138">
        <f t="shared" si="13"/>
        <v>1.3237396338136047</v>
      </c>
    </row>
    <row r="38" spans="1:36">
      <c r="A38" s="145" t="str">
        <f t="shared" si="14"/>
        <v>Guatemala</v>
      </c>
      <c r="D38" s="145">
        <f t="shared" si="15"/>
        <v>0.10219220137952689</v>
      </c>
      <c r="E38" s="145">
        <f t="shared" si="16"/>
        <v>0.50755460018498355</v>
      </c>
      <c r="F38" s="146">
        <f t="shared" si="6"/>
        <v>0.10219220137952689</v>
      </c>
      <c r="G38" s="146">
        <f t="shared" si="7"/>
        <v>0.50755460018498355</v>
      </c>
      <c r="H38" s="145"/>
      <c r="I38" s="145"/>
      <c r="J38" s="141" t="s">
        <v>1041</v>
      </c>
      <c r="K38" s="147">
        <v>1473</v>
      </c>
      <c r="L38" s="147">
        <v>1226</v>
      </c>
      <c r="M38" s="147">
        <v>1726</v>
      </c>
      <c r="N38" s="147">
        <v>1638</v>
      </c>
      <c r="O38" s="145">
        <v>0.38</v>
      </c>
      <c r="P38" s="145">
        <v>0.31</v>
      </c>
      <c r="Q38" s="145">
        <v>0.44</v>
      </c>
      <c r="R38" s="145">
        <v>0.42</v>
      </c>
      <c r="S38" s="148">
        <f t="shared" si="17"/>
        <v>0.31</v>
      </c>
      <c r="T38" s="148">
        <f t="shared" si="18"/>
        <v>0.44</v>
      </c>
      <c r="U38" s="145"/>
      <c r="V38" s="141" t="s">
        <v>1042</v>
      </c>
      <c r="W38" s="149">
        <v>264</v>
      </c>
      <c r="X38" s="149">
        <v>1628</v>
      </c>
      <c r="Y38" s="149">
        <f t="shared" si="19"/>
        <v>3883.7468478740302</v>
      </c>
      <c r="Z38" s="150">
        <f t="shared" si="10"/>
        <v>6.7975594275541951E-2</v>
      </c>
      <c r="AA38" s="150">
        <f t="shared" si="11"/>
        <v>0.419182831365842</v>
      </c>
      <c r="AC38" s="29" t="s">
        <v>1026</v>
      </c>
      <c r="AD38" s="28">
        <v>483</v>
      </c>
      <c r="AE38" s="136">
        <v>246</v>
      </c>
      <c r="AF38" s="136">
        <v>612</v>
      </c>
      <c r="AG38" s="137">
        <f t="shared" si="20"/>
        <v>1401.542312</v>
      </c>
      <c r="AH38" s="138">
        <f t="shared" si="21"/>
        <v>0.34462034850075934</v>
      </c>
      <c r="AI38" s="138">
        <f t="shared" si="12"/>
        <v>0.17552092283889606</v>
      </c>
      <c r="AJ38" s="138">
        <f t="shared" si="13"/>
        <v>0.43666180803822924</v>
      </c>
    </row>
    <row r="39" spans="1:36">
      <c r="A39" s="145" t="str">
        <f t="shared" si="14"/>
        <v>Guinea</v>
      </c>
      <c r="D39" s="145">
        <f t="shared" si="15"/>
        <v>1.1703462859128122E-2</v>
      </c>
      <c r="E39" s="145">
        <f t="shared" si="16"/>
        <v>0.34980350101171831</v>
      </c>
      <c r="F39" s="146">
        <f t="shared" si="6"/>
        <v>1.1703462859128122E-2</v>
      </c>
      <c r="G39" s="146">
        <f t="shared" si="7"/>
        <v>0.34980350101171831</v>
      </c>
      <c r="H39" s="145"/>
      <c r="I39" s="145"/>
      <c r="J39" s="141" t="s">
        <v>1043</v>
      </c>
      <c r="K39" s="147">
        <v>115</v>
      </c>
      <c r="L39" s="147">
        <v>111</v>
      </c>
      <c r="M39" s="147">
        <v>126</v>
      </c>
      <c r="N39" s="147">
        <v>145</v>
      </c>
      <c r="O39" s="145">
        <v>0.22</v>
      </c>
      <c r="P39" s="145">
        <v>0.21</v>
      </c>
      <c r="Q39" s="145">
        <v>0.24</v>
      </c>
      <c r="R39" s="145">
        <v>0.27</v>
      </c>
      <c r="S39" s="148">
        <f t="shared" si="17"/>
        <v>0.21</v>
      </c>
      <c r="T39" s="148">
        <f t="shared" si="18"/>
        <v>0.27</v>
      </c>
      <c r="U39" s="145"/>
      <c r="V39" s="141" t="s">
        <v>1028</v>
      </c>
      <c r="W39" s="149">
        <v>2006</v>
      </c>
      <c r="X39" s="149">
        <v>7027</v>
      </c>
      <c r="Y39" s="149">
        <f t="shared" si="19"/>
        <v>10744.0910189201</v>
      </c>
      <c r="Z39" s="150">
        <f t="shared" si="10"/>
        <v>0.18670727904924481</v>
      </c>
      <c r="AA39" s="150">
        <f t="shared" si="11"/>
        <v>0.65403392317001152</v>
      </c>
      <c r="AC39" s="29" t="s">
        <v>1040</v>
      </c>
      <c r="AD39" s="28">
        <v>87</v>
      </c>
      <c r="AE39" s="136">
        <v>28</v>
      </c>
      <c r="AF39" s="136">
        <v>137</v>
      </c>
      <c r="AG39" s="137">
        <f t="shared" si="20"/>
        <v>580.71687059999999</v>
      </c>
      <c r="AH39" s="138">
        <f t="shared" si="21"/>
        <v>0.14981483129655093</v>
      </c>
      <c r="AI39" s="138">
        <f t="shared" si="12"/>
        <v>4.8216267543717543E-2</v>
      </c>
      <c r="AJ39" s="138">
        <f t="shared" si="13"/>
        <v>0.23591530905318941</v>
      </c>
    </row>
    <row r="40" spans="1:36">
      <c r="A40" s="145" t="str">
        <f t="shared" si="14"/>
        <v>Guinea-Bissau</v>
      </c>
      <c r="D40" s="145">
        <f t="shared" si="15"/>
        <v>1.4180775664809081E-2</v>
      </c>
      <c r="E40" s="145">
        <f t="shared" si="16"/>
        <v>0.4033642855767916</v>
      </c>
      <c r="F40" s="146">
        <f t="shared" si="6"/>
        <v>1.4180775664809081E-2</v>
      </c>
      <c r="G40" s="146">
        <f t="shared" si="7"/>
        <v>0.4033642855767916</v>
      </c>
      <c r="H40" s="145"/>
      <c r="I40" s="145"/>
      <c r="J40" s="141" t="s">
        <v>1044</v>
      </c>
      <c r="K40" s="147">
        <v>55</v>
      </c>
      <c r="L40" s="147">
        <v>52</v>
      </c>
      <c r="M40" s="147">
        <v>58</v>
      </c>
      <c r="N40" s="147">
        <v>68</v>
      </c>
      <c r="O40" s="145">
        <v>0.1</v>
      </c>
      <c r="P40" s="145">
        <v>0.09</v>
      </c>
      <c r="Q40" s="145">
        <v>0.1</v>
      </c>
      <c r="R40" s="145">
        <v>0.12</v>
      </c>
      <c r="S40" s="148">
        <f t="shared" si="17"/>
        <v>0.09</v>
      </c>
      <c r="T40" s="148">
        <f t="shared" si="18"/>
        <v>0.12</v>
      </c>
      <c r="U40" s="145"/>
      <c r="V40" s="141" t="s">
        <v>1029</v>
      </c>
      <c r="W40" s="149">
        <v>61</v>
      </c>
      <c r="X40" s="149">
        <v>737</v>
      </c>
      <c r="Y40" s="149">
        <f t="shared" si="19"/>
        <v>1935.9468453070001</v>
      </c>
      <c r="Z40" s="150">
        <f t="shared" si="10"/>
        <v>3.1509129575469669E-2</v>
      </c>
      <c r="AA40" s="150">
        <f t="shared" si="11"/>
        <v>0.38069227044460896</v>
      </c>
      <c r="AC40" s="29" t="s">
        <v>1042</v>
      </c>
      <c r="AD40" s="28">
        <v>342</v>
      </c>
      <c r="AE40" s="136">
        <v>175</v>
      </c>
      <c r="AF40" s="136">
        <v>434</v>
      </c>
      <c r="AG40" s="137">
        <f t="shared" si="20"/>
        <v>2369.7294940000002</v>
      </c>
      <c r="AH40" s="138">
        <f t="shared" si="21"/>
        <v>0.14432026983076407</v>
      </c>
      <c r="AI40" s="138">
        <f t="shared" si="12"/>
        <v>7.3848091287671669E-2</v>
      </c>
      <c r="AJ40" s="138">
        <f t="shared" si="13"/>
        <v>0.18314326639342574</v>
      </c>
    </row>
    <row r="41" spans="1:36">
      <c r="A41" s="145" t="str">
        <f t="shared" si="14"/>
        <v>Guyana</v>
      </c>
      <c r="D41" s="145">
        <f t="shared" si="15"/>
        <v>6.3397900946950789E-2</v>
      </c>
      <c r="E41" s="145">
        <f t="shared" si="16"/>
        <v>0.35051023397107273</v>
      </c>
      <c r="F41" s="146">
        <f t="shared" si="6"/>
        <v>6.3397900946950789E-2</v>
      </c>
      <c r="G41" s="146">
        <f t="shared" si="7"/>
        <v>0.35051023397107273</v>
      </c>
      <c r="H41" s="145"/>
      <c r="I41" s="145"/>
      <c r="J41" s="141" t="s">
        <v>1045</v>
      </c>
      <c r="K41" s="147">
        <v>2130</v>
      </c>
      <c r="L41" s="147">
        <v>1566</v>
      </c>
      <c r="M41" s="147">
        <v>2147</v>
      </c>
      <c r="N41" s="147">
        <v>2067</v>
      </c>
      <c r="O41" s="145">
        <v>0.52</v>
      </c>
      <c r="P41" s="145">
        <v>0.38</v>
      </c>
      <c r="Q41" s="145">
        <v>0.52</v>
      </c>
      <c r="R41" s="145">
        <v>0.5</v>
      </c>
      <c r="S41" s="148">
        <f t="shared" si="17"/>
        <v>0.38</v>
      </c>
      <c r="T41" s="148">
        <f t="shared" si="18"/>
        <v>0.52</v>
      </c>
      <c r="U41" s="145"/>
      <c r="V41" s="141" t="s">
        <v>1046</v>
      </c>
      <c r="W41" s="149">
        <v>3953</v>
      </c>
      <c r="X41" s="149">
        <v>8101</v>
      </c>
      <c r="Y41" s="149">
        <f t="shared" si="19"/>
        <v>13837.7316376587</v>
      </c>
      <c r="Z41" s="150">
        <f t="shared" si="10"/>
        <v>0.28566820802060555</v>
      </c>
      <c r="AA41" s="150">
        <f t="shared" si="11"/>
        <v>0.58542832106625986</v>
      </c>
      <c r="AC41" s="29" t="s">
        <v>1028</v>
      </c>
      <c r="AD41" s="28">
        <v>9559</v>
      </c>
      <c r="AE41" s="136">
        <v>6973</v>
      </c>
      <c r="AF41" s="136">
        <v>16825</v>
      </c>
      <c r="AG41" s="137">
        <f t="shared" si="20"/>
        <v>12693.827960000001</v>
      </c>
      <c r="AH41" s="138">
        <f t="shared" si="21"/>
        <v>0.75304313483070084</v>
      </c>
      <c r="AI41" s="138">
        <f t="shared" si="12"/>
        <v>0.54932208172135966</v>
      </c>
      <c r="AJ41" s="138">
        <f t="shared" si="13"/>
        <v>1.3254473002956941</v>
      </c>
    </row>
    <row r="42" spans="1:36">
      <c r="A42" s="145" t="str">
        <f t="shared" si="14"/>
        <v>Haiti</v>
      </c>
      <c r="D42" s="145">
        <f t="shared" si="15"/>
        <v>1.3958315829651281E-2</v>
      </c>
      <c r="E42" s="145">
        <f t="shared" si="16"/>
        <v>0.29382254821415943</v>
      </c>
      <c r="F42" s="146">
        <f t="shared" si="6"/>
        <v>1.3958315829651281E-2</v>
      </c>
      <c r="G42" s="146">
        <f t="shared" si="7"/>
        <v>0.29382254821415943</v>
      </c>
      <c r="H42" s="145"/>
      <c r="I42" s="145"/>
      <c r="J42" s="141" t="s">
        <v>1047</v>
      </c>
      <c r="K42" s="147">
        <v>190</v>
      </c>
      <c r="L42" s="147">
        <v>133</v>
      </c>
      <c r="M42" s="147">
        <v>170</v>
      </c>
      <c r="N42" s="147">
        <v>172</v>
      </c>
      <c r="O42" s="145">
        <v>0.23</v>
      </c>
      <c r="P42" s="145">
        <v>0.16</v>
      </c>
      <c r="Q42" s="145">
        <v>0.21</v>
      </c>
      <c r="R42" s="145">
        <v>0.21</v>
      </c>
      <c r="S42" s="148">
        <f t="shared" si="17"/>
        <v>0.16</v>
      </c>
      <c r="T42" s="148">
        <f t="shared" si="18"/>
        <v>0.23</v>
      </c>
      <c r="U42" s="145"/>
      <c r="V42" s="141" t="s">
        <v>1048</v>
      </c>
      <c r="W42" s="149">
        <v>11020</v>
      </c>
      <c r="X42" s="149">
        <v>14430</v>
      </c>
      <c r="Y42" s="149">
        <f t="shared" si="19"/>
        <v>27729.192699073501</v>
      </c>
      <c r="Z42" s="150">
        <f t="shared" si="10"/>
        <v>0.39741510398779856</v>
      </c>
      <c r="AA42" s="150">
        <f t="shared" si="11"/>
        <v>0.52039019514917728</v>
      </c>
      <c r="AC42" s="29" t="s">
        <v>1029</v>
      </c>
      <c r="AD42" s="28">
        <v>435</v>
      </c>
      <c r="AE42" s="136">
        <v>222</v>
      </c>
      <c r="AF42" s="136">
        <v>552</v>
      </c>
      <c r="AG42" s="137">
        <f t="shared" si="20"/>
        <v>2276.332394</v>
      </c>
      <c r="AH42" s="138">
        <f t="shared" si="21"/>
        <v>0.19109687194479208</v>
      </c>
      <c r="AI42" s="138">
        <f t="shared" si="12"/>
        <v>9.7525300164928372E-2</v>
      </c>
      <c r="AJ42" s="138">
        <f t="shared" si="13"/>
        <v>0.24249534095063272</v>
      </c>
    </row>
    <row r="43" spans="1:36">
      <c r="A43" s="145" t="str">
        <f t="shared" si="14"/>
        <v>Honduras</v>
      </c>
      <c r="D43" s="145">
        <f t="shared" si="15"/>
        <v>7.1356831270410731E-2</v>
      </c>
      <c r="E43" s="145">
        <f t="shared" si="16"/>
        <v>0.56367107654545934</v>
      </c>
      <c r="F43" s="146">
        <f t="shared" si="6"/>
        <v>7.1356831270410731E-2</v>
      </c>
      <c r="G43" s="146">
        <f t="shared" si="7"/>
        <v>0.56367107654545934</v>
      </c>
      <c r="H43" s="145"/>
      <c r="I43" s="145"/>
      <c r="J43" s="141" t="s">
        <v>567</v>
      </c>
      <c r="K43" s="147">
        <v>2242</v>
      </c>
      <c r="L43" s="147">
        <v>1707</v>
      </c>
      <c r="M43" s="147">
        <v>2530</v>
      </c>
      <c r="N43" s="147">
        <v>2282</v>
      </c>
      <c r="O43" s="145">
        <v>0.89</v>
      </c>
      <c r="P43" s="145">
        <v>0.68</v>
      </c>
      <c r="Q43" s="145">
        <v>1</v>
      </c>
      <c r="R43" s="145">
        <v>0.9</v>
      </c>
      <c r="S43" s="148">
        <f t="shared" si="17"/>
        <v>0.68</v>
      </c>
      <c r="T43" s="148">
        <f t="shared" si="18"/>
        <v>1</v>
      </c>
      <c r="U43" s="145"/>
      <c r="V43" s="141" t="s">
        <v>1049</v>
      </c>
      <c r="W43" s="149">
        <v>7325</v>
      </c>
      <c r="X43" s="149">
        <v>10569</v>
      </c>
      <c r="Y43" s="149">
        <f t="shared" si="19"/>
        <v>20133.169143135299</v>
      </c>
      <c r="Z43" s="150">
        <f t="shared" si="10"/>
        <v>0.3638274703760469</v>
      </c>
      <c r="AA43" s="150">
        <f t="shared" si="11"/>
        <v>0.52495461220538431</v>
      </c>
      <c r="AC43" s="29" t="s">
        <v>1046</v>
      </c>
      <c r="AD43" s="28">
        <v>8725</v>
      </c>
      <c r="AE43" s="136">
        <v>7426</v>
      </c>
      <c r="AF43" s="136">
        <v>10927</v>
      </c>
      <c r="AG43" s="137">
        <f t="shared" si="20"/>
        <v>15311.766900000001</v>
      </c>
      <c r="AH43" s="138">
        <f t="shared" si="21"/>
        <v>0.56982319917631452</v>
      </c>
      <c r="AI43" s="138">
        <f t="shared" si="12"/>
        <v>0.48498648447946263</v>
      </c>
      <c r="AJ43" s="138">
        <f t="shared" si="13"/>
        <v>0.71363416589107032</v>
      </c>
    </row>
    <row r="44" spans="1:36">
      <c r="A44" s="145" t="str">
        <f t="shared" ref="A44:A67" si="22">J44</f>
        <v>India</v>
      </c>
      <c r="D44" s="145">
        <f t="shared" si="15"/>
        <v>7.9331657649648321E-2</v>
      </c>
      <c r="E44" s="145">
        <f t="shared" si="16"/>
        <v>0.53117718600199304</v>
      </c>
      <c r="F44" s="146">
        <f t="shared" si="6"/>
        <v>7.9331657649648321E-2</v>
      </c>
      <c r="G44" s="146">
        <f t="shared" si="7"/>
        <v>0.53117718600199304</v>
      </c>
      <c r="H44" s="145"/>
      <c r="I44" s="145"/>
      <c r="J44" s="141" t="s">
        <v>245</v>
      </c>
      <c r="K44" s="147">
        <v>291</v>
      </c>
      <c r="L44" s="147">
        <v>264</v>
      </c>
      <c r="M44" s="147">
        <v>363</v>
      </c>
      <c r="N44" s="147">
        <v>349</v>
      </c>
      <c r="O44" s="145">
        <v>0.18</v>
      </c>
      <c r="P44" s="145">
        <v>0.17</v>
      </c>
      <c r="Q44" s="145">
        <v>0.23</v>
      </c>
      <c r="R44" s="145">
        <v>0.22</v>
      </c>
      <c r="S44" s="148">
        <f t="shared" si="17"/>
        <v>0.17</v>
      </c>
      <c r="T44" s="148">
        <f t="shared" si="18"/>
        <v>0.23</v>
      </c>
      <c r="U44" s="145"/>
      <c r="V44" s="141" t="s">
        <v>1050</v>
      </c>
      <c r="W44" s="149">
        <v>28767</v>
      </c>
      <c r="X44" s="149">
        <v>35771</v>
      </c>
      <c r="Y44" s="149">
        <f t="shared" si="19"/>
        <v>61191.1937042028</v>
      </c>
      <c r="Z44" s="150">
        <f t="shared" si="10"/>
        <v>0.47011666644483507</v>
      </c>
      <c r="AA44" s="150">
        <f t="shared" si="11"/>
        <v>0.5845775810963324</v>
      </c>
      <c r="AC44" s="29" t="s">
        <v>449</v>
      </c>
      <c r="AD44" s="28">
        <v>10638</v>
      </c>
      <c r="AE44" s="136">
        <v>7760</v>
      </c>
      <c r="AF44" s="136">
        <v>18723</v>
      </c>
      <c r="AG44" s="137">
        <f t="shared" si="20"/>
        <v>9125.8786789999995</v>
      </c>
      <c r="AH44" s="138">
        <f t="shared" si="21"/>
        <v>1.1656959701293879</v>
      </c>
      <c r="AI44" s="138">
        <f t="shared" si="12"/>
        <v>0.85032907766535526</v>
      </c>
      <c r="AJ44" s="138">
        <f t="shared" si="13"/>
        <v>2.0516380568464494</v>
      </c>
    </row>
    <row r="45" spans="1:36">
      <c r="A45" s="145" t="str">
        <f t="shared" si="22"/>
        <v>Indonesia</v>
      </c>
      <c r="D45" s="145">
        <f t="shared" si="15"/>
        <v>0.13024544055948281</v>
      </c>
      <c r="E45" s="145">
        <f t="shared" si="16"/>
        <v>0.49283550177804297</v>
      </c>
      <c r="F45" s="146">
        <f t="shared" si="6"/>
        <v>0.13024544055948281</v>
      </c>
      <c r="G45" s="146">
        <f t="shared" si="7"/>
        <v>0.49283550177804297</v>
      </c>
      <c r="H45" s="145"/>
      <c r="I45" s="145"/>
      <c r="J45" s="141" t="s">
        <v>602</v>
      </c>
      <c r="K45" s="147">
        <v>691</v>
      </c>
      <c r="L45" s="147">
        <v>535</v>
      </c>
      <c r="M45" s="147">
        <v>778</v>
      </c>
      <c r="N45" s="147">
        <v>714</v>
      </c>
      <c r="O45" s="145">
        <v>0.21</v>
      </c>
      <c r="P45" s="145">
        <v>0.16</v>
      </c>
      <c r="Q45" s="145">
        <v>0.23</v>
      </c>
      <c r="R45" s="145">
        <v>0.21</v>
      </c>
      <c r="S45" s="148">
        <f t="shared" si="17"/>
        <v>0.16</v>
      </c>
      <c r="T45" s="148">
        <f t="shared" si="18"/>
        <v>0.23</v>
      </c>
      <c r="U45" s="145"/>
      <c r="V45" s="141" t="s">
        <v>1051</v>
      </c>
      <c r="W45" s="149">
        <v>71</v>
      </c>
      <c r="X45" s="149">
        <v>857</v>
      </c>
      <c r="Y45" s="149">
        <f t="shared" si="19"/>
        <v>2312.7209484209002</v>
      </c>
      <c r="Z45" s="150">
        <f t="shared" si="10"/>
        <v>3.069976948515038E-2</v>
      </c>
      <c r="AA45" s="150">
        <f t="shared" si="11"/>
        <v>0.3705591894193504</v>
      </c>
      <c r="AC45" s="29" t="s">
        <v>1048</v>
      </c>
      <c r="AD45" s="28">
        <v>16922</v>
      </c>
      <c r="AE45" s="136">
        <v>14402</v>
      </c>
      <c r="AF45" s="136">
        <v>21194</v>
      </c>
      <c r="AG45" s="137">
        <f t="shared" si="20"/>
        <v>28288.461579999999</v>
      </c>
      <c r="AH45" s="138">
        <f t="shared" si="21"/>
        <v>0.59819442468246098</v>
      </c>
      <c r="AI45" s="138">
        <f t="shared" si="12"/>
        <v>0.5091121678452194</v>
      </c>
      <c r="AJ45" s="138">
        <f t="shared" si="13"/>
        <v>0.74921006008273716</v>
      </c>
    </row>
    <row r="46" spans="1:36">
      <c r="A46" s="145" t="str">
        <f t="shared" si="22"/>
        <v>Jamaica</v>
      </c>
      <c r="D46" s="145">
        <f t="shared" si="15"/>
        <v>0.13387486950149433</v>
      </c>
      <c r="E46" s="145">
        <f t="shared" si="16"/>
        <v>0.54491881762659145</v>
      </c>
      <c r="F46" s="146">
        <f t="shared" si="6"/>
        <v>0.13387486950149433</v>
      </c>
      <c r="G46" s="146">
        <f t="shared" si="7"/>
        <v>0.54491881762659145</v>
      </c>
      <c r="H46" s="145"/>
      <c r="I46" s="145"/>
      <c r="J46" s="141" t="s">
        <v>1052</v>
      </c>
      <c r="K46" s="147">
        <v>2466</v>
      </c>
      <c r="L46" s="147">
        <v>2137</v>
      </c>
      <c r="M46" s="147">
        <v>3270</v>
      </c>
      <c r="N46" s="147">
        <v>2868</v>
      </c>
      <c r="O46" s="145">
        <v>0.47</v>
      </c>
      <c r="P46" s="145">
        <v>0.41</v>
      </c>
      <c r="Q46" s="145">
        <v>0.63</v>
      </c>
      <c r="R46" s="145">
        <v>0.55000000000000004</v>
      </c>
      <c r="S46" s="148">
        <f t="shared" si="17"/>
        <v>0.41</v>
      </c>
      <c r="T46" s="148">
        <f t="shared" si="18"/>
        <v>0.63</v>
      </c>
      <c r="U46" s="145"/>
      <c r="V46" s="141" t="s">
        <v>1053</v>
      </c>
      <c r="W46" s="149">
        <v>991</v>
      </c>
      <c r="X46" s="149">
        <v>3611</v>
      </c>
      <c r="Y46" s="149">
        <f t="shared" si="19"/>
        <v>7016.380071478</v>
      </c>
      <c r="Z46" s="150">
        <f t="shared" si="10"/>
        <v>0.14124092336851501</v>
      </c>
      <c r="AA46" s="150">
        <f t="shared" si="11"/>
        <v>0.51465284993310567</v>
      </c>
      <c r="AC46" s="29" t="s">
        <v>1049</v>
      </c>
      <c r="AD46" s="28">
        <v>15750</v>
      </c>
      <c r="AE46" s="136">
        <v>13405</v>
      </c>
      <c r="AF46" s="136">
        <v>19726</v>
      </c>
      <c r="AG46" s="137">
        <f t="shared" si="20"/>
        <v>23660.148809999999</v>
      </c>
      <c r="AH46" s="138">
        <f t="shared" si="21"/>
        <v>0.66567628658967848</v>
      </c>
      <c r="AI46" s="138">
        <f t="shared" si="12"/>
        <v>0.56656448391965974</v>
      </c>
      <c r="AJ46" s="138">
        <f t="shared" si="13"/>
        <v>0.83372256693765068</v>
      </c>
    </row>
    <row r="47" spans="1:36">
      <c r="A47" s="145" t="str">
        <f t="shared" si="22"/>
        <v>Jordan</v>
      </c>
      <c r="D47" s="145">
        <f t="shared" si="15"/>
        <v>0.21560533253865238</v>
      </c>
      <c r="E47" s="145">
        <f t="shared" si="16"/>
        <v>0.84857511613836578</v>
      </c>
      <c r="F47" s="146">
        <f t="shared" si="6"/>
        <v>0.21560533253865238</v>
      </c>
      <c r="G47" s="146">
        <f t="shared" si="7"/>
        <v>0.84857511613836578</v>
      </c>
      <c r="H47" s="145"/>
      <c r="I47" s="145"/>
      <c r="J47" s="141" t="s">
        <v>1054</v>
      </c>
      <c r="K47" s="147">
        <v>6162</v>
      </c>
      <c r="L47" s="147">
        <v>4917</v>
      </c>
      <c r="M47" s="147">
        <v>8771</v>
      </c>
      <c r="N47" s="147">
        <v>6618</v>
      </c>
      <c r="O47" s="145">
        <v>1.25</v>
      </c>
      <c r="P47" s="145">
        <v>1</v>
      </c>
      <c r="Q47" s="145">
        <v>1.78</v>
      </c>
      <c r="R47" s="145">
        <v>1.34</v>
      </c>
      <c r="S47" s="148">
        <f t="shared" si="17"/>
        <v>1</v>
      </c>
      <c r="T47" s="148">
        <f t="shared" si="18"/>
        <v>1.78</v>
      </c>
      <c r="U47" s="145"/>
      <c r="V47" s="141" t="s">
        <v>1032</v>
      </c>
      <c r="W47" s="149">
        <v>937</v>
      </c>
      <c r="X47" s="149">
        <v>3675</v>
      </c>
      <c r="Y47" s="149">
        <f t="shared" si="19"/>
        <v>6238.1323665836198</v>
      </c>
      <c r="Z47" s="150">
        <f t="shared" si="10"/>
        <v>0.15020521286456096</v>
      </c>
      <c r="AA47" s="150">
        <f t="shared" si="11"/>
        <v>0.58911863103229611</v>
      </c>
      <c r="AC47" s="29" t="s">
        <v>1050</v>
      </c>
      <c r="AD47" s="28">
        <v>52467</v>
      </c>
      <c r="AE47" s="136">
        <v>44656</v>
      </c>
      <c r="AF47" s="136">
        <v>65712</v>
      </c>
      <c r="AG47" s="137">
        <f t="shared" si="20"/>
        <v>59775.735099999998</v>
      </c>
      <c r="AH47" s="138">
        <f t="shared" si="21"/>
        <v>0.87773073659783407</v>
      </c>
      <c r="AI47" s="138">
        <f t="shared" si="12"/>
        <v>0.74705898514328772</v>
      </c>
      <c r="AJ47" s="138">
        <f t="shared" si="13"/>
        <v>1.0993089401588974</v>
      </c>
    </row>
    <row r="48" spans="1:36">
      <c r="A48" s="145" t="str">
        <f t="shared" si="22"/>
        <v>Kazakhstan</v>
      </c>
      <c r="D48" s="145">
        <f t="shared" si="15"/>
        <v>0.32287950159443612</v>
      </c>
      <c r="E48" s="145">
        <f t="shared" si="16"/>
        <v>0.5772235995059507</v>
      </c>
      <c r="F48" s="146">
        <f t="shared" si="6"/>
        <v>0.32287950159443612</v>
      </c>
      <c r="G48" s="146">
        <f t="shared" si="7"/>
        <v>0.5772235995059507</v>
      </c>
      <c r="H48" s="145"/>
      <c r="I48" s="145"/>
      <c r="J48" s="141" t="s">
        <v>1055</v>
      </c>
      <c r="K48" s="147">
        <v>5809</v>
      </c>
      <c r="L48" s="147">
        <v>3734</v>
      </c>
      <c r="M48" s="147">
        <v>5213</v>
      </c>
      <c r="N48" s="147">
        <v>4917</v>
      </c>
      <c r="O48" s="145">
        <v>0.55000000000000004</v>
      </c>
      <c r="P48" s="145">
        <v>0.36</v>
      </c>
      <c r="Q48" s="145">
        <v>0.5</v>
      </c>
      <c r="R48" s="145">
        <v>0.47</v>
      </c>
      <c r="S48" s="148">
        <f t="shared" si="17"/>
        <v>0.36</v>
      </c>
      <c r="T48" s="148">
        <f t="shared" si="18"/>
        <v>0.55000000000000004</v>
      </c>
      <c r="U48" s="145"/>
      <c r="V48" s="141" t="s">
        <v>559</v>
      </c>
      <c r="W48" s="149">
        <v>858</v>
      </c>
      <c r="X48" s="149">
        <v>3191</v>
      </c>
      <c r="Y48" s="149">
        <f t="shared" si="19"/>
        <v>6056.3312125381299</v>
      </c>
      <c r="Z48" s="150">
        <f t="shared" si="10"/>
        <v>0.14166992687317431</v>
      </c>
      <c r="AA48" s="150">
        <f t="shared" si="11"/>
        <v>0.52688663945489422</v>
      </c>
      <c r="AC48" s="29" t="s">
        <v>1051</v>
      </c>
      <c r="AD48" s="28">
        <v>456</v>
      </c>
      <c r="AE48" s="136">
        <v>233</v>
      </c>
      <c r="AF48" s="136">
        <v>579</v>
      </c>
      <c r="AG48" s="137">
        <f t="shared" si="20"/>
        <v>3414.9161779999999</v>
      </c>
      <c r="AH48" s="138">
        <f t="shared" si="21"/>
        <v>0.1335318280834242</v>
      </c>
      <c r="AI48" s="138">
        <f t="shared" si="12"/>
        <v>6.8230078823328585E-2</v>
      </c>
      <c r="AJ48" s="138">
        <f t="shared" si="13"/>
        <v>0.16955028171118994</v>
      </c>
    </row>
    <row r="49" spans="1:36">
      <c r="A49" s="145" t="str">
        <f t="shared" si="22"/>
        <v>Kenya</v>
      </c>
      <c r="D49" s="145">
        <f t="shared" si="15"/>
        <v>2.3619359261769671E-2</v>
      </c>
      <c r="E49" s="145">
        <f t="shared" si="16"/>
        <v>0.38307648302682684</v>
      </c>
      <c r="F49" s="146">
        <f t="shared" si="6"/>
        <v>2.3619359261769671E-2</v>
      </c>
      <c r="G49" s="146">
        <f t="shared" si="7"/>
        <v>0.38307648302682684</v>
      </c>
      <c r="H49" s="145"/>
      <c r="I49" s="145"/>
      <c r="J49" s="141" t="s">
        <v>382</v>
      </c>
      <c r="K49" s="147">
        <v>542</v>
      </c>
      <c r="L49" s="147">
        <v>491</v>
      </c>
      <c r="M49" s="147">
        <v>623</v>
      </c>
      <c r="N49" s="147">
        <v>647</v>
      </c>
      <c r="O49" s="145">
        <v>0.39</v>
      </c>
      <c r="P49" s="145">
        <v>0.36</v>
      </c>
      <c r="Q49" s="145">
        <v>0.45</v>
      </c>
      <c r="R49" s="145">
        <v>0.47</v>
      </c>
      <c r="S49" s="148">
        <f t="shared" si="17"/>
        <v>0.36</v>
      </c>
      <c r="T49" s="148">
        <f t="shared" si="18"/>
        <v>0.47</v>
      </c>
      <c r="U49" s="145"/>
      <c r="V49" s="141" t="s">
        <v>398</v>
      </c>
      <c r="W49" s="149">
        <v>522</v>
      </c>
      <c r="X49" s="149">
        <v>1993</v>
      </c>
      <c r="Y49" s="149">
        <f t="shared" si="19"/>
        <v>3262.6575864710398</v>
      </c>
      <c r="Z49" s="150">
        <f t="shared" si="10"/>
        <v>0.1599922719946246</v>
      </c>
      <c r="AA49" s="150">
        <f t="shared" si="11"/>
        <v>0.61085172046989811</v>
      </c>
      <c r="AC49" s="29" t="s">
        <v>1032</v>
      </c>
      <c r="AD49" s="28">
        <v>4745</v>
      </c>
      <c r="AE49" s="136">
        <v>3461</v>
      </c>
      <c r="AF49" s="136">
        <v>8350</v>
      </c>
      <c r="AG49" s="137">
        <f t="shared" si="20"/>
        <v>8282.1171310000009</v>
      </c>
      <c r="AH49" s="138">
        <f t="shared" si="21"/>
        <v>0.57292114141195183</v>
      </c>
      <c r="AI49" s="138">
        <f t="shared" si="12"/>
        <v>0.41788831831965545</v>
      </c>
      <c r="AJ49" s="138">
        <f t="shared" si="13"/>
        <v>1.0081963183961637</v>
      </c>
    </row>
    <row r="50" spans="1:36">
      <c r="A50" s="145" t="str">
        <f t="shared" si="22"/>
        <v>Kyrgyzstan</v>
      </c>
      <c r="D50" s="145" t="e">
        <f t="shared" si="15"/>
        <v>#N/A</v>
      </c>
      <c r="E50" s="145" t="e">
        <f t="shared" si="16"/>
        <v>#N/A</v>
      </c>
      <c r="F50" s="146" t="e">
        <f t="shared" si="6"/>
        <v>#N/A</v>
      </c>
      <c r="G50" s="146" t="e">
        <f t="shared" si="7"/>
        <v>#N/A</v>
      </c>
      <c r="H50" s="145"/>
      <c r="I50" s="145"/>
      <c r="J50" s="141" t="s">
        <v>1056</v>
      </c>
      <c r="K50" s="147">
        <v>973</v>
      </c>
      <c r="L50" s="147">
        <v>644</v>
      </c>
      <c r="M50" s="147">
        <v>883</v>
      </c>
      <c r="N50" s="147">
        <v>847</v>
      </c>
      <c r="O50" s="145">
        <v>0.88</v>
      </c>
      <c r="P50" s="145">
        <v>0.57999999999999996</v>
      </c>
      <c r="Q50" s="145">
        <v>0.8</v>
      </c>
      <c r="R50" s="145">
        <v>0.77</v>
      </c>
      <c r="S50" s="148">
        <f t="shared" si="17"/>
        <v>0.57999999999999996</v>
      </c>
      <c r="T50" s="148">
        <f t="shared" si="18"/>
        <v>0.88</v>
      </c>
      <c r="U50" s="145"/>
      <c r="V50" s="141" t="s">
        <v>1035</v>
      </c>
      <c r="W50" s="149">
        <v>422</v>
      </c>
      <c r="X50" s="149">
        <v>1967</v>
      </c>
      <c r="Y50" s="149">
        <f t="shared" si="19"/>
        <v>3509.52653622458</v>
      </c>
      <c r="Z50" s="150">
        <f t="shared" si="10"/>
        <v>0.12024413995569104</v>
      </c>
      <c r="AA50" s="150">
        <f t="shared" si="11"/>
        <v>0.56047446277925184</v>
      </c>
      <c r="AC50" s="29" t="s">
        <v>559</v>
      </c>
      <c r="AD50" s="28">
        <v>4745</v>
      </c>
      <c r="AE50" s="136">
        <v>3461</v>
      </c>
      <c r="AF50" s="136">
        <v>8352</v>
      </c>
      <c r="AG50" s="137">
        <f t="shared" si="20"/>
        <v>6222.5246530000004</v>
      </c>
      <c r="AH50" s="138">
        <f t="shared" si="21"/>
        <v>0.76255222190439098</v>
      </c>
      <c r="AI50" s="138">
        <f t="shared" si="12"/>
        <v>0.55620510853763905</v>
      </c>
      <c r="AJ50" s="138">
        <f t="shared" si="13"/>
        <v>1.342220475731396</v>
      </c>
    </row>
    <row r="51" spans="1:36">
      <c r="A51" s="145" t="str">
        <f t="shared" si="22"/>
        <v>Lebanon</v>
      </c>
      <c r="D51" s="145">
        <f t="shared" si="15"/>
        <v>0.30504586245015869</v>
      </c>
      <c r="E51" s="145">
        <f t="shared" si="16"/>
        <v>0.80874969152075127</v>
      </c>
      <c r="F51" s="146">
        <f t="shared" si="6"/>
        <v>0.30504586245015869</v>
      </c>
      <c r="G51" s="146">
        <f t="shared" si="7"/>
        <v>0.80874969152075127</v>
      </c>
      <c r="H51" s="145"/>
      <c r="I51" s="145"/>
      <c r="J51" s="141" t="s">
        <v>1057</v>
      </c>
      <c r="K51" s="147">
        <v>6018</v>
      </c>
      <c r="L51" s="147">
        <v>4704</v>
      </c>
      <c r="M51" s="147">
        <v>9105</v>
      </c>
      <c r="N51" s="147">
        <v>6363</v>
      </c>
      <c r="O51" s="145">
        <v>0.75</v>
      </c>
      <c r="P51" s="145">
        <v>0.57999999999999996</v>
      </c>
      <c r="Q51" s="145">
        <v>1.1299999999999999</v>
      </c>
      <c r="R51" s="145">
        <v>0.79</v>
      </c>
      <c r="S51" s="148">
        <f t="shared" si="17"/>
        <v>0.57999999999999996</v>
      </c>
      <c r="T51" s="148">
        <f t="shared" si="18"/>
        <v>1.1299999999999999</v>
      </c>
      <c r="U51" s="145"/>
      <c r="V51" s="141" t="s">
        <v>1058</v>
      </c>
      <c r="W51" s="149">
        <v>9843</v>
      </c>
      <c r="X51" s="149">
        <v>10798</v>
      </c>
      <c r="Y51" s="149">
        <f t="shared" si="19"/>
        <v>20390.737273789</v>
      </c>
      <c r="Z51" s="150">
        <f t="shared" si="10"/>
        <v>0.48271918115744411</v>
      </c>
      <c r="AA51" s="150">
        <f t="shared" si="11"/>
        <v>0.52955417231921986</v>
      </c>
      <c r="AC51" s="29" t="s">
        <v>398</v>
      </c>
      <c r="AD51" s="28">
        <v>1172</v>
      </c>
      <c r="AE51" s="136">
        <v>598</v>
      </c>
      <c r="AF51" s="136">
        <v>1486</v>
      </c>
      <c r="AG51" s="137">
        <f t="shared" si="20"/>
        <v>3019.092283</v>
      </c>
      <c r="AH51" s="138">
        <f t="shared" si="21"/>
        <v>0.38819614974982203</v>
      </c>
      <c r="AI51" s="138">
        <f t="shared" si="12"/>
        <v>0.19807277947985799</v>
      </c>
      <c r="AJ51" s="138">
        <f t="shared" si="13"/>
        <v>0.49220092024593476</v>
      </c>
    </row>
    <row r="52" spans="1:36">
      <c r="A52" s="145" t="str">
        <f t="shared" si="22"/>
        <v>Lesotho</v>
      </c>
      <c r="D52" s="145">
        <f t="shared" si="15"/>
        <v>3.5135476011004953E-2</v>
      </c>
      <c r="E52" s="145">
        <f t="shared" si="16"/>
        <v>0.49789540396082632</v>
      </c>
      <c r="F52" s="146">
        <f t="shared" si="6"/>
        <v>3.5135476011004953E-2</v>
      </c>
      <c r="G52" s="146">
        <f t="shared" si="7"/>
        <v>0.49789540396082632</v>
      </c>
      <c r="H52" s="145"/>
      <c r="I52" s="145"/>
      <c r="J52" s="141" t="s">
        <v>1059</v>
      </c>
      <c r="K52" s="147">
        <v>704</v>
      </c>
      <c r="L52" s="147">
        <v>556</v>
      </c>
      <c r="M52" s="147">
        <v>629</v>
      </c>
      <c r="N52" s="147">
        <v>718</v>
      </c>
      <c r="O52" s="145">
        <v>0.66</v>
      </c>
      <c r="P52" s="145">
        <v>0.52</v>
      </c>
      <c r="Q52" s="145">
        <v>0.59</v>
      </c>
      <c r="R52" s="145">
        <v>0.67</v>
      </c>
      <c r="S52" s="148">
        <f t="shared" si="17"/>
        <v>0.52</v>
      </c>
      <c r="T52" s="148">
        <f t="shared" si="18"/>
        <v>0.67</v>
      </c>
      <c r="U52" s="145"/>
      <c r="V52" s="141" t="s">
        <v>1036</v>
      </c>
      <c r="W52" s="149">
        <v>9</v>
      </c>
      <c r="X52" s="149">
        <v>280</v>
      </c>
      <c r="Y52" s="149">
        <f t="shared" si="19"/>
        <v>0</v>
      </c>
      <c r="Z52" s="150" t="e">
        <f t="shared" si="10"/>
        <v>#DIV/0!</v>
      </c>
      <c r="AA52" s="150" t="e">
        <f t="shared" si="11"/>
        <v>#DIV/0!</v>
      </c>
      <c r="AC52" s="29" t="s">
        <v>1035</v>
      </c>
      <c r="AD52" s="28">
        <v>2363</v>
      </c>
      <c r="AE52" s="136">
        <v>1206</v>
      </c>
      <c r="AF52" s="136">
        <v>2997</v>
      </c>
      <c r="AG52" s="137">
        <f t="shared" si="20"/>
        <v>4167.730939</v>
      </c>
      <c r="AH52" s="138">
        <f t="shared" si="21"/>
        <v>0.56697518016049642</v>
      </c>
      <c r="AI52" s="138">
        <f t="shared" si="12"/>
        <v>0.28936608856265711</v>
      </c>
      <c r="AJ52" s="138">
        <f t="shared" si="13"/>
        <v>0.71909632456242401</v>
      </c>
    </row>
    <row r="53" spans="1:36">
      <c r="A53" s="145" t="str">
        <f t="shared" si="22"/>
        <v>Macedonia</v>
      </c>
      <c r="D53" s="145" t="e">
        <f t="shared" si="15"/>
        <v>#N/A</v>
      </c>
      <c r="E53" s="145" t="e">
        <f t="shared" si="16"/>
        <v>#N/A</v>
      </c>
      <c r="F53" s="146" t="e">
        <f t="shared" si="6"/>
        <v>#N/A</v>
      </c>
      <c r="G53" s="146" t="e">
        <f t="shared" si="7"/>
        <v>#N/A</v>
      </c>
      <c r="H53" s="145"/>
      <c r="I53" s="145"/>
      <c r="J53" s="141" t="s">
        <v>1060</v>
      </c>
      <c r="K53" s="147">
        <v>6335</v>
      </c>
      <c r="L53" s="147">
        <v>3373</v>
      </c>
      <c r="M53" s="147">
        <v>5261</v>
      </c>
      <c r="N53" s="147">
        <v>4429</v>
      </c>
      <c r="O53" s="145">
        <v>1.31</v>
      </c>
      <c r="P53" s="145">
        <v>0.7</v>
      </c>
      <c r="Q53" s="145">
        <v>1.08</v>
      </c>
      <c r="R53" s="145">
        <v>0.91</v>
      </c>
      <c r="S53" s="148">
        <f t="shared" si="17"/>
        <v>0.7</v>
      </c>
      <c r="T53" s="148">
        <f t="shared" si="18"/>
        <v>1.31</v>
      </c>
      <c r="U53" s="145"/>
      <c r="V53" s="141" t="s">
        <v>1061</v>
      </c>
      <c r="W53" s="149">
        <v>6574</v>
      </c>
      <c r="X53" s="149">
        <v>10636</v>
      </c>
      <c r="Y53" s="149">
        <f t="shared" si="19"/>
        <v>19050.585920900001</v>
      </c>
      <c r="Z53" s="150">
        <f t="shared" si="10"/>
        <v>0.34508124985215294</v>
      </c>
      <c r="AA53" s="150">
        <f t="shared" si="11"/>
        <v>0.55830303824574057</v>
      </c>
      <c r="AC53" s="29" t="s">
        <v>1058</v>
      </c>
      <c r="AD53" s="28">
        <v>1840</v>
      </c>
      <c r="AE53" s="136">
        <v>1343</v>
      </c>
      <c r="AF53" s="136">
        <v>3239</v>
      </c>
      <c r="AG53" s="137">
        <f t="shared" si="20"/>
        <v>8419.9333360000001</v>
      </c>
      <c r="AH53" s="138">
        <f t="shared" si="21"/>
        <v>0.21852904608317436</v>
      </c>
      <c r="AI53" s="138">
        <f t="shared" si="12"/>
        <v>0.15950245048353431</v>
      </c>
      <c r="AJ53" s="138">
        <f t="shared" si="13"/>
        <v>0.38468238057793575</v>
      </c>
    </row>
    <row r="54" spans="1:36">
      <c r="A54" s="145" t="str">
        <f t="shared" si="22"/>
        <v>Madagascar</v>
      </c>
      <c r="D54" s="145">
        <f t="shared" si="15"/>
        <v>1.6633831984398363E-2</v>
      </c>
      <c r="E54" s="145">
        <f t="shared" si="16"/>
        <v>0.43432783514817952</v>
      </c>
      <c r="F54" s="146">
        <f t="shared" si="6"/>
        <v>1.6633831984398363E-2</v>
      </c>
      <c r="G54" s="146">
        <f t="shared" si="7"/>
        <v>0.43432783514817952</v>
      </c>
      <c r="H54" s="145"/>
      <c r="I54" s="145"/>
      <c r="J54" s="141" t="s">
        <v>1062</v>
      </c>
      <c r="K54" s="147">
        <v>70</v>
      </c>
      <c r="L54" s="147">
        <v>66</v>
      </c>
      <c r="M54" s="147">
        <v>82</v>
      </c>
      <c r="N54" s="147">
        <v>87</v>
      </c>
      <c r="O54" s="145">
        <v>0.17</v>
      </c>
      <c r="P54" s="145">
        <v>0.16</v>
      </c>
      <c r="Q54" s="145">
        <v>0.2</v>
      </c>
      <c r="R54" s="145">
        <v>0.22</v>
      </c>
      <c r="S54" s="148">
        <f t="shared" si="17"/>
        <v>0.16</v>
      </c>
      <c r="T54" s="148">
        <f t="shared" si="18"/>
        <v>0.22</v>
      </c>
      <c r="U54" s="145"/>
      <c r="V54" s="141" t="s">
        <v>428</v>
      </c>
      <c r="W54" s="149">
        <v>10</v>
      </c>
      <c r="X54" s="149">
        <v>255</v>
      </c>
      <c r="Y54" s="149">
        <f t="shared" si="19"/>
        <v>499.531530164228</v>
      </c>
      <c r="Z54" s="150">
        <f t="shared" si="10"/>
        <v>2.0018756367015229E-2</v>
      </c>
      <c r="AA54" s="150">
        <f t="shared" si="11"/>
        <v>0.51047828735888834</v>
      </c>
      <c r="AC54" s="29" t="s">
        <v>1061</v>
      </c>
      <c r="AD54" s="28">
        <v>13367</v>
      </c>
      <c r="AE54" s="136">
        <v>11377</v>
      </c>
      <c r="AF54" s="136">
        <v>16741</v>
      </c>
      <c r="AG54" s="137">
        <f t="shared" si="20"/>
        <v>23397.120009999999</v>
      </c>
      <c r="AH54" s="138">
        <f t="shared" si="21"/>
        <v>0.57130963102667787</v>
      </c>
      <c r="AI54" s="138">
        <f t="shared" si="12"/>
        <v>0.48625642793375579</v>
      </c>
      <c r="AJ54" s="138">
        <f t="shared" si="13"/>
        <v>0.71551541355708936</v>
      </c>
    </row>
    <row r="55" spans="1:36">
      <c r="A55" s="145" t="str">
        <f t="shared" si="22"/>
        <v>Malawi</v>
      </c>
      <c r="D55" s="145">
        <f t="shared" si="15"/>
        <v>8.6100539208115671E-3</v>
      </c>
      <c r="E55" s="145">
        <f t="shared" si="16"/>
        <v>0.33292208493804726</v>
      </c>
      <c r="F55" s="146">
        <f t="shared" si="6"/>
        <v>8.6100539208115671E-3</v>
      </c>
      <c r="G55" s="146">
        <f t="shared" si="7"/>
        <v>0.33292208493804726</v>
      </c>
      <c r="H55" s="145"/>
      <c r="I55" s="145"/>
      <c r="J55" s="141" t="s">
        <v>1063</v>
      </c>
      <c r="K55" s="147">
        <v>130</v>
      </c>
      <c r="L55" s="147">
        <v>124</v>
      </c>
      <c r="M55" s="147">
        <v>142</v>
      </c>
      <c r="N55" s="147">
        <v>164</v>
      </c>
      <c r="O55" s="145">
        <v>0.35</v>
      </c>
      <c r="P55" s="145">
        <v>0.33</v>
      </c>
      <c r="Q55" s="145">
        <v>0.38</v>
      </c>
      <c r="R55" s="145">
        <v>0.44</v>
      </c>
      <c r="S55" s="148">
        <f t="shared" si="17"/>
        <v>0.33</v>
      </c>
      <c r="T55" s="148">
        <f t="shared" si="18"/>
        <v>0.44</v>
      </c>
      <c r="U55" s="145"/>
      <c r="V55" s="141" t="s">
        <v>1064</v>
      </c>
      <c r="W55" s="149">
        <v>507</v>
      </c>
      <c r="X55" s="149">
        <v>2307</v>
      </c>
      <c r="Y55" s="149">
        <f t="shared" si="19"/>
        <v>4840.72726987242</v>
      </c>
      <c r="Z55" s="150">
        <f t="shared" si="10"/>
        <v>0.10473632818676898</v>
      </c>
      <c r="AA55" s="150">
        <f t="shared" si="11"/>
        <v>0.47658128032914404</v>
      </c>
      <c r="AC55" s="29" t="s">
        <v>1201</v>
      </c>
      <c r="AD55" s="28">
        <v>1818</v>
      </c>
      <c r="AE55" s="136">
        <v>928</v>
      </c>
      <c r="AF55" s="136">
        <v>2305</v>
      </c>
      <c r="AG55" s="137">
        <f t="shared" si="20"/>
        <v>3915.6434669999999</v>
      </c>
      <c r="AH55" s="138">
        <f t="shared" si="21"/>
        <v>0.46429150542474557</v>
      </c>
      <c r="AI55" s="138">
        <f t="shared" si="12"/>
        <v>0.23699808417720786</v>
      </c>
      <c r="AJ55" s="138">
        <f t="shared" si="13"/>
        <v>0.5886644224444656</v>
      </c>
    </row>
    <row r="56" spans="1:36">
      <c r="A56" s="145" t="str">
        <f t="shared" si="22"/>
        <v>Malaysia</v>
      </c>
      <c r="D56" s="145">
        <f t="shared" si="15"/>
        <v>0.31731694657870113</v>
      </c>
      <c r="E56" s="145">
        <f t="shared" si="16"/>
        <v>0.56444312933505247</v>
      </c>
      <c r="F56" s="146">
        <f t="shared" si="6"/>
        <v>0.31731694657870113</v>
      </c>
      <c r="G56" s="146">
        <f t="shared" si="7"/>
        <v>0.56444312933505247</v>
      </c>
      <c r="H56" s="145"/>
      <c r="I56" s="145"/>
      <c r="J56" s="141" t="s">
        <v>214</v>
      </c>
      <c r="K56" s="147">
        <v>6875</v>
      </c>
      <c r="L56" s="147">
        <v>4396</v>
      </c>
      <c r="M56" s="147">
        <v>7314</v>
      </c>
      <c r="N56" s="147">
        <v>5898</v>
      </c>
      <c r="O56" s="145">
        <v>0.7</v>
      </c>
      <c r="P56" s="145">
        <v>0.45</v>
      </c>
      <c r="Q56" s="145">
        <v>0.75</v>
      </c>
      <c r="R56" s="145">
        <v>0.6</v>
      </c>
      <c r="S56" s="148">
        <f t="shared" si="17"/>
        <v>0.45</v>
      </c>
      <c r="T56" s="148">
        <f t="shared" si="18"/>
        <v>0.75</v>
      </c>
      <c r="U56" s="145"/>
      <c r="V56" s="141" t="s">
        <v>1065</v>
      </c>
      <c r="W56" s="149">
        <v>23867</v>
      </c>
      <c r="X56" s="149">
        <v>25653</v>
      </c>
      <c r="Y56" s="149">
        <f t="shared" si="19"/>
        <v>49878.043244453598</v>
      </c>
      <c r="Z56" s="150">
        <f t="shared" si="10"/>
        <v>0.47850714357472302</v>
      </c>
      <c r="AA56" s="150">
        <f t="shared" si="11"/>
        <v>0.51431448251235468</v>
      </c>
      <c r="AC56" s="29" t="s">
        <v>428</v>
      </c>
      <c r="AD56" s="28">
        <v>124</v>
      </c>
      <c r="AE56" s="136">
        <v>39</v>
      </c>
      <c r="AF56" s="136">
        <v>194</v>
      </c>
      <c r="AG56" s="137">
        <f t="shared" si="20"/>
        <v>855.76088519999996</v>
      </c>
      <c r="AH56" s="138">
        <f t="shared" si="21"/>
        <v>0.14490028949035214</v>
      </c>
      <c r="AI56" s="138">
        <f t="shared" si="12"/>
        <v>4.5573478146159141E-2</v>
      </c>
      <c r="AJ56" s="138">
        <f t="shared" si="13"/>
        <v>0.22669884000909932</v>
      </c>
    </row>
    <row r="57" spans="1:36">
      <c r="A57" s="145" t="str">
        <f t="shared" si="22"/>
        <v>Mali</v>
      </c>
      <c r="D57" s="145">
        <f t="shared" si="15"/>
        <v>2.1117121054037079E-2</v>
      </c>
      <c r="E57" s="145">
        <f t="shared" si="16"/>
        <v>0.45712356164033213</v>
      </c>
      <c r="F57" s="146">
        <f t="shared" si="6"/>
        <v>2.1117121054037079E-2</v>
      </c>
      <c r="G57" s="146">
        <f t="shared" si="7"/>
        <v>0.45712356164033213</v>
      </c>
      <c r="H57" s="145"/>
      <c r="I57" s="145"/>
      <c r="J57" s="141" t="s">
        <v>1066</v>
      </c>
      <c r="K57" s="147">
        <v>69</v>
      </c>
      <c r="L57" s="147">
        <v>71</v>
      </c>
      <c r="M57" s="147">
        <v>77</v>
      </c>
      <c r="N57" s="147">
        <v>93</v>
      </c>
      <c r="O57" s="145">
        <v>0.1</v>
      </c>
      <c r="P57" s="145">
        <v>0.1</v>
      </c>
      <c r="Q57" s="145">
        <v>0.11</v>
      </c>
      <c r="R57" s="145">
        <v>0.13</v>
      </c>
      <c r="S57" s="148">
        <f t="shared" si="17"/>
        <v>0.1</v>
      </c>
      <c r="T57" s="148">
        <f t="shared" si="18"/>
        <v>0.13</v>
      </c>
      <c r="U57" s="145"/>
      <c r="V57" s="141" t="s">
        <v>1067</v>
      </c>
      <c r="W57" s="149">
        <v>21168</v>
      </c>
      <c r="X57" s="149">
        <v>21713</v>
      </c>
      <c r="Y57" s="149">
        <f t="shared" si="19"/>
        <v>42592.935385054901</v>
      </c>
      <c r="Z57" s="150">
        <f t="shared" si="10"/>
        <v>0.49698382627621085</v>
      </c>
      <c r="AA57" s="150">
        <f t="shared" si="11"/>
        <v>0.50977937546935781</v>
      </c>
      <c r="AC57" s="29" t="s">
        <v>1064</v>
      </c>
      <c r="AD57" s="28">
        <v>2027</v>
      </c>
      <c r="AE57" s="136">
        <v>1479</v>
      </c>
      <c r="AF57" s="136">
        <v>3567</v>
      </c>
      <c r="AG57" s="137">
        <f t="shared" si="20"/>
        <v>6175.8906530000004</v>
      </c>
      <c r="AH57" s="138">
        <f t="shared" si="21"/>
        <v>0.32821176958749498</v>
      </c>
      <c r="AI57" s="138">
        <f t="shared" si="12"/>
        <v>0.23947962862353481</v>
      </c>
      <c r="AJ57" s="138">
        <f t="shared" si="13"/>
        <v>0.57756851609205451</v>
      </c>
    </row>
    <row r="58" spans="1:36">
      <c r="A58" s="145" t="str">
        <f t="shared" si="22"/>
        <v>Mauritania</v>
      </c>
      <c r="D58" s="145">
        <f t="shared" si="15"/>
        <v>2.4311688527933084E-2</v>
      </c>
      <c r="E58" s="145">
        <f t="shared" si="16"/>
        <v>0.29068323239919991</v>
      </c>
      <c r="F58" s="146">
        <f t="shared" si="6"/>
        <v>2.4311688527933084E-2</v>
      </c>
      <c r="G58" s="146">
        <f t="shared" si="7"/>
        <v>0.29068323239919991</v>
      </c>
      <c r="H58" s="145"/>
      <c r="I58" s="145"/>
      <c r="J58" s="141" t="s">
        <v>1068</v>
      </c>
      <c r="K58" s="147">
        <v>279</v>
      </c>
      <c r="L58" s="147">
        <v>272</v>
      </c>
      <c r="M58" s="147">
        <v>356</v>
      </c>
      <c r="N58" s="147">
        <v>360</v>
      </c>
      <c r="O58" s="145">
        <v>0.2</v>
      </c>
      <c r="P58" s="145">
        <v>0.2</v>
      </c>
      <c r="Q58" s="145">
        <v>0.26</v>
      </c>
      <c r="R58" s="145">
        <v>0.26</v>
      </c>
      <c r="S58" s="148">
        <f t="shared" si="17"/>
        <v>0.2</v>
      </c>
      <c r="T58" s="148">
        <f t="shared" si="18"/>
        <v>0.26</v>
      </c>
      <c r="U58" s="145"/>
      <c r="V58" s="141" t="s">
        <v>1038</v>
      </c>
      <c r="W58" s="149">
        <v>3164</v>
      </c>
      <c r="X58" s="149">
        <v>7218</v>
      </c>
      <c r="Y58" s="149">
        <f t="shared" si="19"/>
        <v>9683.5816195125208</v>
      </c>
      <c r="Z58" s="150">
        <f t="shared" si="10"/>
        <v>0.32673861018783651</v>
      </c>
      <c r="AA58" s="150">
        <f t="shared" si="11"/>
        <v>0.74538536293799107</v>
      </c>
      <c r="AC58" s="29" t="s">
        <v>1065</v>
      </c>
      <c r="AD58" s="28">
        <v>39425</v>
      </c>
      <c r="AE58" s="136">
        <v>33555</v>
      </c>
      <c r="AF58" s="136">
        <v>49378</v>
      </c>
      <c r="AG58" s="137">
        <f t="shared" si="20"/>
        <v>48678.314129999999</v>
      </c>
      <c r="AH58" s="138">
        <f t="shared" si="21"/>
        <v>0.80990890306331986</v>
      </c>
      <c r="AI58" s="138">
        <f t="shared" si="12"/>
        <v>0.68932132510563593</v>
      </c>
      <c r="AJ58" s="138">
        <f t="shared" si="13"/>
        <v>1.0143736668474472</v>
      </c>
    </row>
    <row r="59" spans="1:36">
      <c r="A59" s="145" t="str">
        <f t="shared" si="22"/>
        <v>Mauritius</v>
      </c>
      <c r="D59" s="145">
        <f t="shared" si="15"/>
        <v>0.23326755025825022</v>
      </c>
      <c r="E59" s="145">
        <f t="shared" si="16"/>
        <v>0.6168930543973743</v>
      </c>
      <c r="F59" s="146">
        <f t="shared" si="6"/>
        <v>0.23326755025825022</v>
      </c>
      <c r="G59" s="146">
        <f t="shared" si="7"/>
        <v>0.6168930543973743</v>
      </c>
      <c r="H59" s="145"/>
      <c r="I59" s="145"/>
      <c r="J59" s="141" t="s">
        <v>1069</v>
      </c>
      <c r="K59" s="147">
        <v>4653</v>
      </c>
      <c r="L59" s="147">
        <v>3560</v>
      </c>
      <c r="M59" s="147">
        <v>5442</v>
      </c>
      <c r="N59" s="147">
        <v>4776</v>
      </c>
      <c r="O59" s="145">
        <v>0.5</v>
      </c>
      <c r="P59" s="145">
        <v>0.38</v>
      </c>
      <c r="Q59" s="145">
        <v>0.59</v>
      </c>
      <c r="R59" s="145">
        <v>0.52</v>
      </c>
      <c r="S59" s="148">
        <f t="shared" si="17"/>
        <v>0.38</v>
      </c>
      <c r="T59" s="148">
        <f t="shared" si="18"/>
        <v>0.59</v>
      </c>
      <c r="U59" s="145"/>
      <c r="V59" s="141" t="s">
        <v>346</v>
      </c>
      <c r="W59" s="149">
        <v>12</v>
      </c>
      <c r="X59" s="149">
        <v>252</v>
      </c>
      <c r="Y59" s="149">
        <f t="shared" si="19"/>
        <v>700.51604215283305</v>
      </c>
      <c r="Z59" s="150">
        <f t="shared" si="10"/>
        <v>1.7130228685586526E-2</v>
      </c>
      <c r="AA59" s="150">
        <f t="shared" si="11"/>
        <v>0.35973480239731703</v>
      </c>
      <c r="AC59" s="29" t="s">
        <v>1067</v>
      </c>
      <c r="AD59" s="28">
        <v>40006</v>
      </c>
      <c r="AE59" s="136">
        <v>34050</v>
      </c>
      <c r="AF59" s="136">
        <v>50106</v>
      </c>
      <c r="AG59" s="137">
        <f t="shared" si="20"/>
        <v>40578.644289999997</v>
      </c>
      <c r="AH59" s="138">
        <f t="shared" si="21"/>
        <v>0.9858880379071433</v>
      </c>
      <c r="AI59" s="138">
        <f t="shared" si="12"/>
        <v>0.83911132556962031</v>
      </c>
      <c r="AJ59" s="138">
        <f t="shared" si="13"/>
        <v>1.2347874325694976</v>
      </c>
    </row>
    <row r="60" spans="1:36">
      <c r="A60" s="145" t="str">
        <f t="shared" si="22"/>
        <v>Mexico</v>
      </c>
      <c r="D60" s="145">
        <f t="shared" si="15"/>
        <v>0.22470477827865473</v>
      </c>
      <c r="E60" s="145">
        <f t="shared" si="16"/>
        <v>0.6292666176774443</v>
      </c>
      <c r="F60" s="146">
        <f t="shared" si="6"/>
        <v>0.22470477827865473</v>
      </c>
      <c r="G60" s="146">
        <f t="shared" si="7"/>
        <v>0.6292666176774443</v>
      </c>
      <c r="H60" s="145"/>
      <c r="I60" s="145"/>
      <c r="J60" s="141" t="s">
        <v>537</v>
      </c>
      <c r="K60" s="147">
        <v>7449</v>
      </c>
      <c r="L60" s="147">
        <v>5723</v>
      </c>
      <c r="M60" s="147">
        <v>8730</v>
      </c>
      <c r="N60" s="147">
        <v>7700</v>
      </c>
      <c r="O60" s="145">
        <v>0.83</v>
      </c>
      <c r="P60" s="145">
        <v>0.64</v>
      </c>
      <c r="Q60" s="145">
        <v>0.97</v>
      </c>
      <c r="R60" s="145">
        <v>0.86</v>
      </c>
      <c r="S60" s="148">
        <f t="shared" si="17"/>
        <v>0.64</v>
      </c>
      <c r="T60" s="148">
        <f t="shared" si="18"/>
        <v>0.97</v>
      </c>
      <c r="U60" s="145"/>
      <c r="V60" s="141" t="s">
        <v>494</v>
      </c>
      <c r="W60" s="149">
        <v>366</v>
      </c>
      <c r="X60" s="149">
        <v>1850</v>
      </c>
      <c r="Y60" s="149">
        <f t="shared" si="19"/>
        <v>4623.7457247341899</v>
      </c>
      <c r="Z60" s="150">
        <f t="shared" si="10"/>
        <v>7.9156601982268524E-2</v>
      </c>
      <c r="AA60" s="150">
        <f t="shared" si="11"/>
        <v>0.40010850728742287</v>
      </c>
      <c r="AC60" s="29" t="s">
        <v>1038</v>
      </c>
      <c r="AD60" s="28">
        <v>1860</v>
      </c>
      <c r="AE60" s="136">
        <v>1356</v>
      </c>
      <c r="AF60" s="136">
        <v>3273</v>
      </c>
      <c r="AG60" s="137">
        <f t="shared" si="20"/>
        <v>7766.9965540000003</v>
      </c>
      <c r="AH60" s="138">
        <f t="shared" si="21"/>
        <v>0.23947480690487763</v>
      </c>
      <c r="AI60" s="138">
        <f t="shared" si="12"/>
        <v>0.17458485922742692</v>
      </c>
      <c r="AJ60" s="138">
        <f t="shared" si="13"/>
        <v>0.4213984102148734</v>
      </c>
    </row>
    <row r="61" spans="1:36">
      <c r="A61" s="145" t="str">
        <f t="shared" si="22"/>
        <v>Moldova</v>
      </c>
      <c r="D61" s="145">
        <f t="shared" si="15"/>
        <v>4.455095955077322E-2</v>
      </c>
      <c r="E61" s="145">
        <f t="shared" si="16"/>
        <v>0.34647401650635118</v>
      </c>
      <c r="F61" s="146">
        <f t="shared" si="6"/>
        <v>4.455095955077322E-2</v>
      </c>
      <c r="G61" s="146">
        <f t="shared" si="7"/>
        <v>0.34647401650635118</v>
      </c>
      <c r="H61" s="145"/>
      <c r="I61" s="145"/>
      <c r="J61" s="141" t="s">
        <v>1070</v>
      </c>
      <c r="K61" s="147">
        <v>2314</v>
      </c>
      <c r="L61" s="147">
        <v>1570</v>
      </c>
      <c r="M61" s="147">
        <v>2353</v>
      </c>
      <c r="N61" s="147">
        <v>2084</v>
      </c>
      <c r="O61" s="145">
        <v>1.25</v>
      </c>
      <c r="P61" s="145">
        <v>0.85</v>
      </c>
      <c r="Q61" s="145">
        <v>1.27</v>
      </c>
      <c r="R61" s="145">
        <v>1.1299999999999999</v>
      </c>
      <c r="S61" s="148">
        <f t="shared" si="17"/>
        <v>0.85</v>
      </c>
      <c r="T61" s="148">
        <f t="shared" si="18"/>
        <v>1.27</v>
      </c>
      <c r="U61" s="145"/>
      <c r="V61" s="141" t="s">
        <v>1071</v>
      </c>
      <c r="W61" s="149">
        <v>21933</v>
      </c>
      <c r="X61" s="149">
        <v>27747</v>
      </c>
      <c r="Y61" s="149">
        <f t="shared" si="19"/>
        <v>46285.764068840697</v>
      </c>
      <c r="Z61" s="150">
        <f t="shared" si="10"/>
        <v>0.47386060144495196</v>
      </c>
      <c r="AA61" s="150">
        <f t="shared" si="11"/>
        <v>0.59947157745374924</v>
      </c>
      <c r="AC61" s="29" t="s">
        <v>346</v>
      </c>
      <c r="AD61" s="28">
        <v>125</v>
      </c>
      <c r="AE61" s="136">
        <v>39</v>
      </c>
      <c r="AF61" s="136">
        <v>197</v>
      </c>
      <c r="AG61" s="137">
        <f t="shared" si="20"/>
        <v>772.04591419999997</v>
      </c>
      <c r="AH61" s="138">
        <f t="shared" si="21"/>
        <v>0.16190746910373327</v>
      </c>
      <c r="AI61" s="138">
        <f t="shared" si="12"/>
        <v>5.0515130360364778E-2</v>
      </c>
      <c r="AJ61" s="138">
        <f t="shared" si="13"/>
        <v>0.25516617130748365</v>
      </c>
    </row>
    <row r="62" spans="1:36">
      <c r="A62" s="145" t="str">
        <f t="shared" si="22"/>
        <v>Mongolia</v>
      </c>
      <c r="D62" s="145">
        <f t="shared" si="15"/>
        <v>0.12436758234088692</v>
      </c>
      <c r="E62" s="145">
        <f t="shared" si="16"/>
        <v>0.47754403164042214</v>
      </c>
      <c r="F62" s="146">
        <f t="shared" si="6"/>
        <v>0.12436758234088692</v>
      </c>
      <c r="G62" s="146">
        <f t="shared" si="7"/>
        <v>0.47754403164042214</v>
      </c>
      <c r="H62" s="145"/>
      <c r="I62" s="145"/>
      <c r="J62" s="141" t="s">
        <v>307</v>
      </c>
      <c r="K62" s="147">
        <v>1949</v>
      </c>
      <c r="L62" s="147">
        <v>1394</v>
      </c>
      <c r="M62" s="147">
        <v>1865</v>
      </c>
      <c r="N62" s="147">
        <v>1848</v>
      </c>
      <c r="O62" s="145">
        <v>0.49</v>
      </c>
      <c r="P62" s="145">
        <v>0.35</v>
      </c>
      <c r="Q62" s="145">
        <v>0.47</v>
      </c>
      <c r="R62" s="145">
        <v>0.47</v>
      </c>
      <c r="S62" s="148">
        <f t="shared" si="17"/>
        <v>0.35</v>
      </c>
      <c r="T62" s="148">
        <f t="shared" si="18"/>
        <v>0.49</v>
      </c>
      <c r="U62" s="145"/>
      <c r="V62" s="141" t="s">
        <v>1039</v>
      </c>
      <c r="W62" s="149">
        <v>104</v>
      </c>
      <c r="X62" s="149">
        <v>951</v>
      </c>
      <c r="Y62" s="149">
        <f t="shared" si="19"/>
        <v>2361.0903238836599</v>
      </c>
      <c r="Z62" s="150">
        <f t="shared" si="10"/>
        <v>4.4047446617346976E-2</v>
      </c>
      <c r="AA62" s="150">
        <f t="shared" si="11"/>
        <v>0.402780016664394</v>
      </c>
      <c r="AC62" s="29" t="s">
        <v>494</v>
      </c>
      <c r="AD62" s="28">
        <v>2759</v>
      </c>
      <c r="AE62" s="136">
        <v>2012</v>
      </c>
      <c r="AF62" s="136">
        <v>4856</v>
      </c>
      <c r="AG62" s="137">
        <f t="shared" si="20"/>
        <v>4697.9836519999999</v>
      </c>
      <c r="AH62" s="138">
        <f t="shared" si="21"/>
        <v>0.58727322280601246</v>
      </c>
      <c r="AI62" s="138">
        <f t="shared" si="12"/>
        <v>0.42826883808832805</v>
      </c>
      <c r="AJ62" s="138">
        <f t="shared" si="13"/>
        <v>1.0336349293026446</v>
      </c>
    </row>
    <row r="63" spans="1:36">
      <c r="A63" s="145" t="str">
        <f t="shared" si="22"/>
        <v>Morocco</v>
      </c>
      <c r="D63" s="145">
        <f t="shared" si="15"/>
        <v>0.10122754152159315</v>
      </c>
      <c r="E63" s="145">
        <f t="shared" si="16"/>
        <v>0.50934111082067446</v>
      </c>
      <c r="F63" s="146">
        <f t="shared" si="6"/>
        <v>0.10122754152159315</v>
      </c>
      <c r="G63" s="146">
        <f t="shared" si="7"/>
        <v>0.50934111082067446</v>
      </c>
      <c r="H63" s="145"/>
      <c r="I63" s="145"/>
      <c r="J63" s="141" t="s">
        <v>1072</v>
      </c>
      <c r="K63" s="147">
        <v>1119</v>
      </c>
      <c r="L63" s="147">
        <v>927</v>
      </c>
      <c r="M63" s="147">
        <v>1484</v>
      </c>
      <c r="N63" s="147">
        <v>1235</v>
      </c>
      <c r="O63" s="145">
        <v>0.39</v>
      </c>
      <c r="P63" s="145">
        <v>0.32</v>
      </c>
      <c r="Q63" s="145">
        <v>0.52</v>
      </c>
      <c r="R63" s="145">
        <v>0.43</v>
      </c>
      <c r="S63" s="148">
        <f t="shared" si="17"/>
        <v>0.32</v>
      </c>
      <c r="T63" s="148">
        <f t="shared" si="18"/>
        <v>0.52</v>
      </c>
      <c r="U63" s="145"/>
      <c r="V63" s="141" t="s">
        <v>1073</v>
      </c>
      <c r="W63" s="149">
        <v>7982</v>
      </c>
      <c r="X63" s="149">
        <v>12520</v>
      </c>
      <c r="Y63" s="149">
        <f t="shared" si="19"/>
        <v>21781.595347261198</v>
      </c>
      <c r="Z63" s="150">
        <f t="shared" si="10"/>
        <v>0.36645616965809857</v>
      </c>
      <c r="AA63" s="150">
        <f t="shared" si="11"/>
        <v>0.57479719921315386</v>
      </c>
      <c r="AC63" s="29" t="s">
        <v>1071</v>
      </c>
      <c r="AD63" s="28">
        <v>47461</v>
      </c>
      <c r="AE63" s="136">
        <v>40395</v>
      </c>
      <c r="AF63" s="136">
        <v>59443</v>
      </c>
      <c r="AG63" s="137">
        <f t="shared" si="20"/>
        <v>46794.899290000001</v>
      </c>
      <c r="AH63" s="138">
        <f t="shared" si="21"/>
        <v>1.0142344725623194</v>
      </c>
      <c r="AI63" s="138">
        <f t="shared" si="12"/>
        <v>0.8632351092297863</v>
      </c>
      <c r="AJ63" s="138">
        <f t="shared" si="13"/>
        <v>1.2702880207438096</v>
      </c>
    </row>
    <row r="64" spans="1:36">
      <c r="A64" s="145" t="str">
        <f t="shared" si="22"/>
        <v>Mozambique</v>
      </c>
      <c r="D64" s="145">
        <f t="shared" si="15"/>
        <v>1.2046786519988081E-2</v>
      </c>
      <c r="E64" s="145">
        <f t="shared" si="16"/>
        <v>0.44271940460956194</v>
      </c>
      <c r="F64" s="146">
        <f t="shared" si="6"/>
        <v>1.2046786519988081E-2</v>
      </c>
      <c r="G64" s="146">
        <f t="shared" si="7"/>
        <v>0.44271940460956194</v>
      </c>
      <c r="H64" s="145"/>
      <c r="I64" s="145"/>
      <c r="J64" s="141" t="s">
        <v>1074</v>
      </c>
      <c r="K64" s="147">
        <v>231</v>
      </c>
      <c r="L64" s="147">
        <v>189</v>
      </c>
      <c r="M64" s="147">
        <v>217</v>
      </c>
      <c r="N64" s="147">
        <v>244</v>
      </c>
      <c r="O64" s="145">
        <v>0.44</v>
      </c>
      <c r="P64" s="145">
        <v>0.36</v>
      </c>
      <c r="Q64" s="145">
        <v>0.41</v>
      </c>
      <c r="R64" s="145">
        <v>0.46</v>
      </c>
      <c r="S64" s="148">
        <f t="shared" si="17"/>
        <v>0.36</v>
      </c>
      <c r="T64" s="148">
        <f t="shared" si="18"/>
        <v>0.46</v>
      </c>
      <c r="U64" s="145"/>
      <c r="V64" s="141" t="s">
        <v>1075</v>
      </c>
      <c r="W64" s="149">
        <v>1272</v>
      </c>
      <c r="X64" s="149">
        <v>4948</v>
      </c>
      <c r="Y64" s="149">
        <f t="shared" si="19"/>
        <v>7789.63235505594</v>
      </c>
      <c r="Z64" s="150">
        <f t="shared" si="10"/>
        <v>0.16329397101448509</v>
      </c>
      <c r="AA64" s="150">
        <f t="shared" si="11"/>
        <v>0.63520327718527692</v>
      </c>
      <c r="AC64" s="29" t="s">
        <v>1039</v>
      </c>
      <c r="AD64" s="28">
        <v>507</v>
      </c>
      <c r="AE64" s="136">
        <v>259</v>
      </c>
      <c r="AF64" s="136">
        <v>643</v>
      </c>
      <c r="AG64" s="137">
        <f t="shared" si="20"/>
        <v>2246.6255780000001</v>
      </c>
      <c r="AH64" s="138">
        <f t="shared" si="21"/>
        <v>0.22567178303531268</v>
      </c>
      <c r="AI64" s="138">
        <f t="shared" si="12"/>
        <v>0.1152840075071913</v>
      </c>
      <c r="AJ64" s="138">
        <f t="shared" si="13"/>
        <v>0.28620701477654054</v>
      </c>
    </row>
    <row r="65" spans="1:36">
      <c r="A65" s="145" t="str">
        <f t="shared" si="22"/>
        <v>Namibia</v>
      </c>
      <c r="D65" s="145">
        <f t="shared" si="15"/>
        <v>0.14669623014015185</v>
      </c>
      <c r="E65" s="145">
        <f t="shared" si="16"/>
        <v>0.54858084545457542</v>
      </c>
      <c r="F65" s="146">
        <f t="shared" si="6"/>
        <v>0.14669623014015185</v>
      </c>
      <c r="G65" s="146">
        <f t="shared" si="7"/>
        <v>0.54858084545457542</v>
      </c>
      <c r="H65" s="145"/>
      <c r="I65" s="145"/>
      <c r="J65" s="141" t="s">
        <v>1076</v>
      </c>
      <c r="K65" s="147">
        <v>5014</v>
      </c>
      <c r="L65" s="147">
        <v>3142</v>
      </c>
      <c r="M65" s="147">
        <v>3948</v>
      </c>
      <c r="N65" s="147">
        <v>4061</v>
      </c>
      <c r="O65" s="145">
        <v>1.07</v>
      </c>
      <c r="P65" s="145">
        <v>0.67</v>
      </c>
      <c r="Q65" s="145">
        <v>0.84</v>
      </c>
      <c r="R65" s="145">
        <v>0.87</v>
      </c>
      <c r="S65" s="148">
        <f t="shared" si="17"/>
        <v>0.67</v>
      </c>
      <c r="T65" s="148">
        <f t="shared" si="18"/>
        <v>1.07</v>
      </c>
      <c r="U65" s="145"/>
      <c r="V65" s="141" t="s">
        <v>1041</v>
      </c>
      <c r="W65" s="149">
        <v>360</v>
      </c>
      <c r="X65" s="149">
        <v>1788</v>
      </c>
      <c r="Y65" s="149">
        <f t="shared" si="19"/>
        <v>3522.7737062147498</v>
      </c>
      <c r="Z65" s="150">
        <f t="shared" si="10"/>
        <v>0.10219220137952689</v>
      </c>
      <c r="AA65" s="150">
        <f t="shared" si="11"/>
        <v>0.50755460018498355</v>
      </c>
      <c r="AC65" s="29" t="s">
        <v>1073</v>
      </c>
      <c r="AD65" s="28">
        <v>13207</v>
      </c>
      <c r="AE65" s="136">
        <v>11241</v>
      </c>
      <c r="AF65" s="136">
        <v>16541</v>
      </c>
      <c r="AG65" s="137">
        <f t="shared" si="20"/>
        <v>19133.75776</v>
      </c>
      <c r="AH65" s="138">
        <f t="shared" si="21"/>
        <v>0.69024601260552387</v>
      </c>
      <c r="AI65" s="138">
        <f t="shared" si="12"/>
        <v>0.58749567863244445</v>
      </c>
      <c r="AJ65" s="138">
        <f t="shared" si="13"/>
        <v>0.86449301843779591</v>
      </c>
    </row>
    <row r="66" spans="1:36">
      <c r="A66" s="145" t="str">
        <f t="shared" si="22"/>
        <v>Nepal</v>
      </c>
      <c r="D66" s="145">
        <f t="shared" si="15"/>
        <v>2.6719786424416626E-2</v>
      </c>
      <c r="E66" s="145">
        <f t="shared" si="16"/>
        <v>0.43358926152348798</v>
      </c>
      <c r="F66" s="146">
        <f t="shared" si="6"/>
        <v>2.6719786424416626E-2</v>
      </c>
      <c r="G66" s="146">
        <f t="shared" si="7"/>
        <v>0.43358926152348798</v>
      </c>
      <c r="H66" s="145"/>
      <c r="I66" s="145"/>
      <c r="J66" s="141" t="s">
        <v>1077</v>
      </c>
      <c r="K66" s="147">
        <v>256</v>
      </c>
      <c r="L66" s="147">
        <v>206</v>
      </c>
      <c r="M66" s="147">
        <v>291</v>
      </c>
      <c r="N66" s="147">
        <v>272</v>
      </c>
      <c r="O66" s="145">
        <v>0.34</v>
      </c>
      <c r="P66" s="145">
        <v>0.28000000000000003</v>
      </c>
      <c r="Q66" s="145">
        <v>0.39</v>
      </c>
      <c r="R66" s="145">
        <v>0.37</v>
      </c>
      <c r="S66" s="148">
        <f t="shared" si="17"/>
        <v>0.28000000000000003</v>
      </c>
      <c r="T66" s="148">
        <f t="shared" si="18"/>
        <v>0.39</v>
      </c>
      <c r="U66" s="145"/>
      <c r="V66" s="141" t="s">
        <v>1043</v>
      </c>
      <c r="W66" s="149">
        <v>9</v>
      </c>
      <c r="X66" s="149">
        <v>269</v>
      </c>
      <c r="Y66" s="149">
        <f t="shared" si="19"/>
        <v>769.00316669783297</v>
      </c>
      <c r="Z66" s="150">
        <f t="shared" si="10"/>
        <v>1.1703462859128122E-2</v>
      </c>
      <c r="AA66" s="150">
        <f t="shared" si="11"/>
        <v>0.34980350101171831</v>
      </c>
      <c r="AC66" s="29" t="s">
        <v>1075</v>
      </c>
      <c r="AD66" s="28">
        <v>4935</v>
      </c>
      <c r="AE66" s="136">
        <v>3600</v>
      </c>
      <c r="AF66" s="136">
        <v>8685</v>
      </c>
      <c r="AG66" s="137">
        <f t="shared" si="20"/>
        <v>10827.435289999999</v>
      </c>
      <c r="AH66" s="138">
        <f t="shared" si="21"/>
        <v>0.4557866076149969</v>
      </c>
      <c r="AI66" s="138">
        <f t="shared" si="12"/>
        <v>0.33248871072218622</v>
      </c>
      <c r="AJ66" s="138">
        <f t="shared" si="13"/>
        <v>0.80212901461727415</v>
      </c>
    </row>
    <row r="67" spans="1:36">
      <c r="A67" s="145" t="str">
        <f t="shared" si="22"/>
        <v>Nicaragua</v>
      </c>
      <c r="D67" s="145">
        <f t="shared" ref="D67:D99" si="23">VLOOKUP(J67,$V$3:$AA$184,5,FALSE)</f>
        <v>6.5134468356957909E-2</v>
      </c>
      <c r="E67" s="145">
        <f t="shared" ref="E67:E99" si="24">VLOOKUP(J67,$V$3:$AA$184,6,FALSE)</f>
        <v>0.51721183771584378</v>
      </c>
      <c r="F67" s="146">
        <f t="shared" si="6"/>
        <v>6.5134468356957909E-2</v>
      </c>
      <c r="G67" s="146">
        <f t="shared" si="7"/>
        <v>0.51721183771584378</v>
      </c>
      <c r="H67" s="145"/>
      <c r="I67" s="145"/>
      <c r="J67" s="141" t="s">
        <v>1078</v>
      </c>
      <c r="K67" s="147">
        <v>3674</v>
      </c>
      <c r="L67" s="147">
        <v>1830</v>
      </c>
      <c r="M67" s="147">
        <v>2840</v>
      </c>
      <c r="N67" s="147">
        <v>2403</v>
      </c>
      <c r="O67" s="145">
        <v>1.76</v>
      </c>
      <c r="P67" s="145">
        <v>0.88</v>
      </c>
      <c r="Q67" s="145">
        <v>1.36</v>
      </c>
      <c r="R67" s="145">
        <v>1.1499999999999999</v>
      </c>
      <c r="S67" s="148">
        <f t="shared" ref="S67:S98" si="25">MIN(O67:R67)</f>
        <v>0.88</v>
      </c>
      <c r="T67" s="148">
        <f t="shared" ref="T67:T99" si="26">MAX(O67:R67)</f>
        <v>1.76</v>
      </c>
      <c r="U67" s="145"/>
      <c r="V67" s="141" t="s">
        <v>1044</v>
      </c>
      <c r="W67" s="149">
        <v>9</v>
      </c>
      <c r="X67" s="149">
        <v>256</v>
      </c>
      <c r="Y67" s="149">
        <f t="shared" ref="Y67:Y98" si="27">VLOOKUP(V67,gdppc,55,FALSE)</f>
        <v>634.66203913896902</v>
      </c>
      <c r="Z67" s="150">
        <f t="shared" si="10"/>
        <v>1.4180775664809081E-2</v>
      </c>
      <c r="AA67" s="150">
        <f t="shared" si="11"/>
        <v>0.4033642855767916</v>
      </c>
      <c r="AC67" s="29" t="s">
        <v>1041</v>
      </c>
      <c r="AD67" s="28">
        <v>2705</v>
      </c>
      <c r="AE67" s="136">
        <v>1973</v>
      </c>
      <c r="AF67" s="136">
        <v>4761</v>
      </c>
      <c r="AG67" s="137">
        <f t="shared" ref="AG67:AG98" si="28">VLOOKUP(AC67,gdppc,61,FALSE)</f>
        <v>4638.634943</v>
      </c>
      <c r="AH67" s="138">
        <f t="shared" ref="AH67:AH98" si="29">AD67/AG67</f>
        <v>0.58314569549863371</v>
      </c>
      <c r="AI67" s="138">
        <f t="shared" si="12"/>
        <v>0.4253406496187816</v>
      </c>
      <c r="AJ67" s="138">
        <f t="shared" si="13"/>
        <v>1.0263795402103493</v>
      </c>
    </row>
    <row r="68" spans="1:36">
      <c r="A68" s="145" t="str">
        <f t="shared" ref="A68:A99" si="30">J68</f>
        <v>Niger</v>
      </c>
      <c r="D68" s="145">
        <f t="shared" si="23"/>
        <v>9.0486414231885411E-3</v>
      </c>
      <c r="E68" s="145">
        <f t="shared" si="24"/>
        <v>0.38547212462783181</v>
      </c>
      <c r="F68" s="146">
        <f t="shared" ref="F68:F99" si="31">MIN(B68:E68)</f>
        <v>9.0486414231885411E-3</v>
      </c>
      <c r="G68" s="146">
        <f t="shared" ref="G68:G99" si="32">MAX(B68:E68)</f>
        <v>0.38547212462783181</v>
      </c>
      <c r="H68" s="145"/>
      <c r="I68" s="145"/>
      <c r="J68" s="141" t="s">
        <v>1079</v>
      </c>
      <c r="K68" s="147">
        <v>88</v>
      </c>
      <c r="L68" s="147">
        <v>90</v>
      </c>
      <c r="M68" s="147">
        <v>98</v>
      </c>
      <c r="N68" s="147">
        <v>118</v>
      </c>
      <c r="O68" s="145">
        <v>0.25</v>
      </c>
      <c r="P68" s="145">
        <v>0.25</v>
      </c>
      <c r="Q68" s="145">
        <v>0.27</v>
      </c>
      <c r="R68" s="145">
        <v>0.33</v>
      </c>
      <c r="S68" s="148">
        <f t="shared" si="25"/>
        <v>0.25</v>
      </c>
      <c r="T68" s="148">
        <f t="shared" si="26"/>
        <v>0.33</v>
      </c>
      <c r="U68" s="145"/>
      <c r="V68" s="141" t="s">
        <v>1045</v>
      </c>
      <c r="W68" s="149">
        <v>348</v>
      </c>
      <c r="X68" s="149">
        <v>1924</v>
      </c>
      <c r="Y68" s="149">
        <f t="shared" si="27"/>
        <v>5489.1407255138402</v>
      </c>
      <c r="Z68" s="150">
        <f t="shared" ref="Z68:Z131" si="33">W68/$Y68</f>
        <v>6.3397900946950789E-2</v>
      </c>
      <c r="AA68" s="150">
        <f t="shared" ref="AA68:AA131" si="34">X68/$Y68</f>
        <v>0.35051023397107273</v>
      </c>
      <c r="AC68" s="29" t="s">
        <v>1043</v>
      </c>
      <c r="AD68" s="28">
        <v>191</v>
      </c>
      <c r="AE68" s="136">
        <v>60</v>
      </c>
      <c r="AF68" s="136">
        <v>300</v>
      </c>
      <c r="AG68" s="137">
        <f t="shared" si="28"/>
        <v>1058.143368</v>
      </c>
      <c r="AH68" s="138">
        <f t="shared" si="29"/>
        <v>0.18050484062571756</v>
      </c>
      <c r="AI68" s="138">
        <f t="shared" ref="AI68:AI131" si="35">AE68/AG68</f>
        <v>5.6703091296036928E-2</v>
      </c>
      <c r="AJ68" s="138">
        <f t="shared" ref="AJ68:AJ131" si="36">AF68/AG68</f>
        <v>0.28351545648018461</v>
      </c>
    </row>
    <row r="69" spans="1:36">
      <c r="A69" s="145" t="str">
        <f t="shared" si="30"/>
        <v>Nigeria</v>
      </c>
      <c r="D69" s="145">
        <f t="shared" si="23"/>
        <v>8.0701000038692253E-2</v>
      </c>
      <c r="E69" s="145">
        <f t="shared" si="24"/>
        <v>0.52168638100326159</v>
      </c>
      <c r="F69" s="146">
        <f t="shared" si="31"/>
        <v>8.0701000038692253E-2</v>
      </c>
      <c r="G69" s="146">
        <f t="shared" si="32"/>
        <v>0.52168638100326159</v>
      </c>
      <c r="H69" s="145"/>
      <c r="I69" s="145"/>
      <c r="J69" s="141" t="s">
        <v>1080</v>
      </c>
      <c r="K69" s="147">
        <v>214</v>
      </c>
      <c r="L69" s="147">
        <v>223</v>
      </c>
      <c r="M69" s="147">
        <v>254</v>
      </c>
      <c r="N69" s="147">
        <v>291</v>
      </c>
      <c r="O69" s="145">
        <v>0.08</v>
      </c>
      <c r="P69" s="145">
        <v>0.08</v>
      </c>
      <c r="Q69" s="145">
        <v>0.1</v>
      </c>
      <c r="R69" s="145">
        <v>0.11</v>
      </c>
      <c r="S69" s="148">
        <f t="shared" si="25"/>
        <v>0.08</v>
      </c>
      <c r="T69" s="148">
        <f t="shared" si="26"/>
        <v>0.11</v>
      </c>
      <c r="U69" s="145"/>
      <c r="V69" s="141" t="s">
        <v>1047</v>
      </c>
      <c r="W69" s="149">
        <v>20</v>
      </c>
      <c r="X69" s="149">
        <v>421</v>
      </c>
      <c r="Y69" s="149">
        <f t="shared" si="27"/>
        <v>1432.8376176669201</v>
      </c>
      <c r="Z69" s="150">
        <f t="shared" si="33"/>
        <v>1.3958315829651281E-2</v>
      </c>
      <c r="AA69" s="150">
        <f t="shared" si="34"/>
        <v>0.29382254821415943</v>
      </c>
      <c r="AC69" s="29" t="s">
        <v>1044</v>
      </c>
      <c r="AD69" s="28">
        <v>253</v>
      </c>
      <c r="AE69" s="136">
        <v>79</v>
      </c>
      <c r="AF69" s="136">
        <v>397</v>
      </c>
      <c r="AG69" s="137">
        <f t="shared" si="28"/>
        <v>749.45374700000002</v>
      </c>
      <c r="AH69" s="138">
        <f t="shared" si="29"/>
        <v>0.33757920487119802</v>
      </c>
      <c r="AI69" s="138">
        <f t="shared" si="35"/>
        <v>0.10541010744989977</v>
      </c>
      <c r="AJ69" s="138">
        <f t="shared" si="36"/>
        <v>0.52971914756468619</v>
      </c>
    </row>
    <row r="70" spans="1:36">
      <c r="A70" s="145" t="str">
        <f t="shared" si="30"/>
        <v>Pakistan</v>
      </c>
      <c r="D70" s="145">
        <f t="shared" si="23"/>
        <v>7.1965196030817802E-2</v>
      </c>
      <c r="E70" s="145">
        <f t="shared" si="24"/>
        <v>0.55338754189215078</v>
      </c>
      <c r="F70" s="146">
        <f t="shared" si="31"/>
        <v>7.1965196030817802E-2</v>
      </c>
      <c r="G70" s="146">
        <f t="shared" si="32"/>
        <v>0.55338754189215078</v>
      </c>
      <c r="H70" s="145"/>
      <c r="I70" s="145"/>
      <c r="J70" s="141" t="s">
        <v>1081</v>
      </c>
      <c r="K70" s="147">
        <v>138</v>
      </c>
      <c r="L70" s="147">
        <v>133</v>
      </c>
      <c r="M70" s="147">
        <v>169</v>
      </c>
      <c r="N70" s="147">
        <v>175</v>
      </c>
      <c r="O70" s="145">
        <v>0.1</v>
      </c>
      <c r="P70" s="145">
        <v>0.09</v>
      </c>
      <c r="Q70" s="145">
        <v>0.12</v>
      </c>
      <c r="R70" s="145">
        <v>0.12</v>
      </c>
      <c r="S70" s="148">
        <f t="shared" si="25"/>
        <v>0.09</v>
      </c>
      <c r="T70" s="148">
        <f t="shared" si="26"/>
        <v>0.12</v>
      </c>
      <c r="U70" s="145"/>
      <c r="V70" s="141" t="s">
        <v>567</v>
      </c>
      <c r="W70" s="149">
        <v>149</v>
      </c>
      <c r="X70" s="149">
        <v>1177</v>
      </c>
      <c r="Y70" s="149">
        <f t="shared" si="27"/>
        <v>2088.0972059333199</v>
      </c>
      <c r="Z70" s="150">
        <f t="shared" si="33"/>
        <v>7.1356831270410731E-2</v>
      </c>
      <c r="AA70" s="150">
        <f t="shared" si="34"/>
        <v>0.56367107654545934</v>
      </c>
      <c r="AC70" s="29" t="s">
        <v>1045</v>
      </c>
      <c r="AD70" s="28">
        <v>3134</v>
      </c>
      <c r="AE70" s="136">
        <v>2286</v>
      </c>
      <c r="AF70" s="136">
        <v>5516</v>
      </c>
      <c r="AG70" s="137">
        <f t="shared" si="28"/>
        <v>6609.5112799999997</v>
      </c>
      <c r="AH70" s="138">
        <f t="shared" si="29"/>
        <v>0.47416516399378927</v>
      </c>
      <c r="AI70" s="138">
        <f t="shared" si="35"/>
        <v>0.3458652089629235</v>
      </c>
      <c r="AJ70" s="138">
        <f t="shared" si="36"/>
        <v>0.83455489616775425</v>
      </c>
    </row>
    <row r="71" spans="1:36">
      <c r="A71" s="145" t="str">
        <f t="shared" si="30"/>
        <v>Panama</v>
      </c>
      <c r="D71" s="145">
        <f t="shared" si="23"/>
        <v>0.25586472166530266</v>
      </c>
      <c r="E71" s="145">
        <f t="shared" si="24"/>
        <v>0.57775633567355822</v>
      </c>
      <c r="F71" s="146">
        <f t="shared" si="31"/>
        <v>0.25586472166530266</v>
      </c>
      <c r="G71" s="146">
        <f t="shared" si="32"/>
        <v>0.57775633567355822</v>
      </c>
      <c r="H71" s="145"/>
      <c r="I71" s="145"/>
      <c r="J71" s="141" t="s">
        <v>1082</v>
      </c>
      <c r="K71" s="147">
        <v>14446</v>
      </c>
      <c r="L71" s="147">
        <v>11003</v>
      </c>
      <c r="M71" s="147">
        <v>17101</v>
      </c>
      <c r="N71" s="147">
        <v>14711</v>
      </c>
      <c r="O71" s="145">
        <v>1.0900000000000001</v>
      </c>
      <c r="P71" s="145">
        <v>0.83</v>
      </c>
      <c r="Q71" s="145">
        <v>1.29</v>
      </c>
      <c r="R71" s="145">
        <v>1.1100000000000001</v>
      </c>
      <c r="S71" s="148">
        <f t="shared" si="25"/>
        <v>0.83</v>
      </c>
      <c r="T71" s="148">
        <f t="shared" si="26"/>
        <v>1.29</v>
      </c>
      <c r="U71" s="145"/>
      <c r="V71" s="141" t="s">
        <v>1083</v>
      </c>
      <c r="W71" s="149">
        <v>17409</v>
      </c>
      <c r="X71" s="149">
        <v>28801</v>
      </c>
      <c r="Y71" s="149">
        <f t="shared" si="27"/>
        <v>38403.777714547701</v>
      </c>
      <c r="Z71" s="150">
        <f t="shared" si="33"/>
        <v>0.45331477880639104</v>
      </c>
      <c r="AA71" s="150">
        <f t="shared" si="34"/>
        <v>0.74995226287568884</v>
      </c>
      <c r="AC71" s="29" t="s">
        <v>1047</v>
      </c>
      <c r="AD71" s="28">
        <v>261</v>
      </c>
      <c r="AE71" s="136">
        <v>82</v>
      </c>
      <c r="AF71" s="136">
        <v>410</v>
      </c>
      <c r="AG71" s="137">
        <f t="shared" si="28"/>
        <v>1312.770636</v>
      </c>
      <c r="AH71" s="138">
        <f t="shared" si="29"/>
        <v>0.19881614719480975</v>
      </c>
      <c r="AI71" s="138">
        <f t="shared" si="35"/>
        <v>6.246331061292873E-2</v>
      </c>
      <c r="AJ71" s="138">
        <f t="shared" si="36"/>
        <v>0.31231655306464368</v>
      </c>
    </row>
    <row r="72" spans="1:36">
      <c r="A72" s="145" t="str">
        <f t="shared" si="30"/>
        <v>Paraguay</v>
      </c>
      <c r="D72" s="145">
        <f t="shared" si="23"/>
        <v>8.1522984654243125E-2</v>
      </c>
      <c r="E72" s="145">
        <f t="shared" si="24"/>
        <v>0.36702186686280114</v>
      </c>
      <c r="F72" s="146">
        <f t="shared" si="31"/>
        <v>8.1522984654243125E-2</v>
      </c>
      <c r="G72" s="146">
        <f t="shared" si="32"/>
        <v>0.36702186686280114</v>
      </c>
      <c r="H72" s="145"/>
      <c r="I72" s="145"/>
      <c r="J72" s="141" t="s">
        <v>482</v>
      </c>
      <c r="K72" s="147">
        <v>5797</v>
      </c>
      <c r="L72" s="147">
        <v>3401</v>
      </c>
      <c r="M72" s="147">
        <v>5199</v>
      </c>
      <c r="N72" s="147">
        <v>4467</v>
      </c>
      <c r="O72" s="145">
        <v>1.42</v>
      </c>
      <c r="P72" s="145">
        <v>0.83</v>
      </c>
      <c r="Q72" s="145">
        <v>1.27</v>
      </c>
      <c r="R72" s="145">
        <v>1.0900000000000001</v>
      </c>
      <c r="S72" s="148">
        <f t="shared" si="25"/>
        <v>0.83</v>
      </c>
      <c r="T72" s="148">
        <f t="shared" si="26"/>
        <v>1.42</v>
      </c>
      <c r="U72" s="145"/>
      <c r="V72" s="141" t="s">
        <v>1084</v>
      </c>
      <c r="W72" s="149">
        <v>4268</v>
      </c>
      <c r="X72" s="149">
        <v>7773</v>
      </c>
      <c r="Y72" s="149">
        <f t="shared" si="27"/>
        <v>13719.9505393621</v>
      </c>
      <c r="Z72" s="150">
        <f t="shared" si="33"/>
        <v>0.31107983864484379</v>
      </c>
      <c r="AA72" s="150">
        <f t="shared" si="34"/>
        <v>0.56654723190870926</v>
      </c>
      <c r="AC72" s="29" t="s">
        <v>567</v>
      </c>
      <c r="AD72" s="28">
        <v>1603</v>
      </c>
      <c r="AE72" s="136">
        <v>819</v>
      </c>
      <c r="AF72" s="136">
        <v>2033</v>
      </c>
      <c r="AG72" s="137">
        <f t="shared" si="28"/>
        <v>2556.4568909999998</v>
      </c>
      <c r="AH72" s="138">
        <f t="shared" si="29"/>
        <v>0.62703971486605448</v>
      </c>
      <c r="AI72" s="138">
        <f t="shared" si="35"/>
        <v>0.32036526916737279</v>
      </c>
      <c r="AJ72" s="138">
        <f t="shared" si="36"/>
        <v>0.7952412603385457</v>
      </c>
    </row>
    <row r="73" spans="1:36">
      <c r="A73" s="145" t="str">
        <f t="shared" si="30"/>
        <v>Peru</v>
      </c>
      <c r="D73" s="145">
        <f t="shared" si="23"/>
        <v>0.16487209176159878</v>
      </c>
      <c r="E73" s="145">
        <f t="shared" si="24"/>
        <v>0.64868436103329219</v>
      </c>
      <c r="F73" s="146">
        <f t="shared" si="31"/>
        <v>0.16487209176159878</v>
      </c>
      <c r="G73" s="146">
        <f t="shared" si="32"/>
        <v>0.64868436103329219</v>
      </c>
      <c r="H73" s="145"/>
      <c r="I73" s="145"/>
      <c r="J73" s="141" t="s">
        <v>404</v>
      </c>
      <c r="K73" s="147">
        <v>4756</v>
      </c>
      <c r="L73" s="147">
        <v>3836</v>
      </c>
      <c r="M73" s="147">
        <v>6531</v>
      </c>
      <c r="N73" s="147">
        <v>5163</v>
      </c>
      <c r="O73" s="145">
        <v>0.79</v>
      </c>
      <c r="P73" s="145">
        <v>0.64</v>
      </c>
      <c r="Q73" s="145">
        <v>1.08</v>
      </c>
      <c r="R73" s="145">
        <v>0.86</v>
      </c>
      <c r="S73" s="148">
        <f t="shared" si="25"/>
        <v>0.64</v>
      </c>
      <c r="T73" s="148">
        <f t="shared" si="26"/>
        <v>1.08</v>
      </c>
      <c r="U73" s="145"/>
      <c r="V73" s="141" t="s">
        <v>1085</v>
      </c>
      <c r="W73" s="149">
        <v>22567</v>
      </c>
      <c r="X73" s="149">
        <v>25712</v>
      </c>
      <c r="Y73" s="149">
        <f t="shared" si="27"/>
        <v>49804.982997837098</v>
      </c>
      <c r="Z73" s="150">
        <f t="shared" si="33"/>
        <v>0.45310727243858362</v>
      </c>
      <c r="AA73" s="150">
        <f t="shared" si="34"/>
        <v>0.51625356444989867</v>
      </c>
      <c r="AC73" s="29" t="s">
        <v>1084</v>
      </c>
      <c r="AD73" s="28">
        <v>8620</v>
      </c>
      <c r="AE73" s="136">
        <v>7337</v>
      </c>
      <c r="AF73" s="136">
        <v>10796</v>
      </c>
      <c r="AG73" s="137">
        <f t="shared" si="28"/>
        <v>16735.659780000002</v>
      </c>
      <c r="AH73" s="138">
        <f t="shared" si="29"/>
        <v>0.51506783200154171</v>
      </c>
      <c r="AI73" s="138">
        <f t="shared" si="35"/>
        <v>0.43840518368855125</v>
      </c>
      <c r="AJ73" s="138">
        <f t="shared" si="36"/>
        <v>0.64508959562513279</v>
      </c>
    </row>
    <row r="74" spans="1:36">
      <c r="A74" s="145" t="str">
        <f t="shared" si="30"/>
        <v>Philippines</v>
      </c>
      <c r="D74" s="145">
        <f t="shared" si="23"/>
        <v>8.9154193773153201E-2</v>
      </c>
      <c r="E74" s="145">
        <f t="shared" si="24"/>
        <v>0.49487542715488553</v>
      </c>
      <c r="F74" s="146">
        <f t="shared" si="31"/>
        <v>8.9154193773153201E-2</v>
      </c>
      <c r="G74" s="146">
        <f t="shared" si="32"/>
        <v>0.49487542715488553</v>
      </c>
      <c r="H74" s="145"/>
      <c r="I74" s="145"/>
      <c r="J74" s="141" t="s">
        <v>285</v>
      </c>
      <c r="K74" s="147">
        <v>822</v>
      </c>
      <c r="L74" s="147">
        <v>672</v>
      </c>
      <c r="M74" s="147">
        <v>987</v>
      </c>
      <c r="N74" s="147">
        <v>898</v>
      </c>
      <c r="O74" s="145">
        <v>0.28000000000000003</v>
      </c>
      <c r="P74" s="145">
        <v>0.23</v>
      </c>
      <c r="Q74" s="145">
        <v>0.34</v>
      </c>
      <c r="R74" s="145">
        <v>0.31</v>
      </c>
      <c r="S74" s="148">
        <f t="shared" si="25"/>
        <v>0.23</v>
      </c>
      <c r="T74" s="148">
        <f t="shared" si="26"/>
        <v>0.34</v>
      </c>
      <c r="U74" s="145"/>
      <c r="V74" s="141" t="s">
        <v>245</v>
      </c>
      <c r="W74" s="149">
        <v>115</v>
      </c>
      <c r="X74" s="149">
        <v>770</v>
      </c>
      <c r="Y74" s="149">
        <f t="shared" si="27"/>
        <v>1449.61045069641</v>
      </c>
      <c r="Z74" s="150">
        <f t="shared" si="33"/>
        <v>7.9331657649648321E-2</v>
      </c>
      <c r="AA74" s="150">
        <f t="shared" si="34"/>
        <v>0.53117718600199304</v>
      </c>
      <c r="AC74" s="29" t="s">
        <v>1085</v>
      </c>
      <c r="AD74" s="28">
        <v>56421</v>
      </c>
      <c r="AE74" s="136">
        <v>48021</v>
      </c>
      <c r="AF74" s="136">
        <v>70665</v>
      </c>
      <c r="AG74" s="137">
        <f t="shared" si="28"/>
        <v>68941.462230000005</v>
      </c>
      <c r="AH74" s="138">
        <f t="shared" si="29"/>
        <v>0.81838995250449298</v>
      </c>
      <c r="AI74" s="138">
        <f t="shared" si="35"/>
        <v>0.69654745412556063</v>
      </c>
      <c r="AJ74" s="138">
        <f t="shared" si="36"/>
        <v>1.0250000176127683</v>
      </c>
    </row>
    <row r="75" spans="1:36">
      <c r="A75" s="145" t="str">
        <f t="shared" si="30"/>
        <v>Romania</v>
      </c>
      <c r="D75" s="145">
        <f t="shared" si="23"/>
        <v>0.25838271906528959</v>
      </c>
      <c r="E75" s="145">
        <f t="shared" si="24"/>
        <v>0.61532163539058626</v>
      </c>
      <c r="F75" s="146">
        <f t="shared" si="31"/>
        <v>0.25838271906528959</v>
      </c>
      <c r="G75" s="146">
        <f t="shared" si="32"/>
        <v>0.61532163539058626</v>
      </c>
      <c r="H75" s="145"/>
      <c r="I75" s="145"/>
      <c r="J75" s="141" t="s">
        <v>1086</v>
      </c>
      <c r="K75" s="147">
        <v>7838</v>
      </c>
      <c r="L75" s="147">
        <v>5382</v>
      </c>
      <c r="M75" s="147">
        <v>7782</v>
      </c>
      <c r="N75" s="147">
        <v>7104</v>
      </c>
      <c r="O75" s="145">
        <v>0.87</v>
      </c>
      <c r="P75" s="145">
        <v>0.6</v>
      </c>
      <c r="Q75" s="145">
        <v>0.87</v>
      </c>
      <c r="R75" s="145">
        <v>0.79</v>
      </c>
      <c r="S75" s="148">
        <f t="shared" si="25"/>
        <v>0.6</v>
      </c>
      <c r="T75" s="148">
        <f t="shared" si="26"/>
        <v>0.87</v>
      </c>
      <c r="U75" s="145"/>
      <c r="V75" s="141" t="s">
        <v>602</v>
      </c>
      <c r="W75" s="149">
        <v>472</v>
      </c>
      <c r="X75" s="149">
        <v>1786</v>
      </c>
      <c r="Y75" s="149">
        <f t="shared" si="27"/>
        <v>3623.92724054274</v>
      </c>
      <c r="Z75" s="150">
        <f t="shared" si="33"/>
        <v>0.13024544055948281</v>
      </c>
      <c r="AA75" s="150">
        <f t="shared" si="34"/>
        <v>0.49283550177804297</v>
      </c>
      <c r="AC75" s="29" t="s">
        <v>245</v>
      </c>
      <c r="AD75" s="28">
        <v>487</v>
      </c>
      <c r="AE75" s="136">
        <v>249</v>
      </c>
      <c r="AF75" s="136">
        <v>618</v>
      </c>
      <c r="AG75" s="137">
        <f t="shared" si="28"/>
        <v>2100.7514609999998</v>
      </c>
      <c r="AH75" s="138">
        <f t="shared" si="29"/>
        <v>0.23182180712047595</v>
      </c>
      <c r="AI75" s="138">
        <f t="shared" si="35"/>
        <v>0.11852901431827209</v>
      </c>
      <c r="AJ75" s="138">
        <f t="shared" si="36"/>
        <v>0.29418044517547048</v>
      </c>
    </row>
    <row r="76" spans="1:36">
      <c r="A76" s="145" t="str">
        <f t="shared" si="30"/>
        <v>Russia</v>
      </c>
      <c r="D76" s="145" t="e">
        <f t="shared" si="23"/>
        <v>#N/A</v>
      </c>
      <c r="E76" s="145" t="e">
        <f t="shared" si="24"/>
        <v>#N/A</v>
      </c>
      <c r="F76" s="146" t="e">
        <f t="shared" si="31"/>
        <v>#N/A</v>
      </c>
      <c r="G76" s="146" t="e">
        <f t="shared" si="32"/>
        <v>#N/A</v>
      </c>
      <c r="H76" s="145"/>
      <c r="I76" s="145"/>
      <c r="J76" s="141" t="s">
        <v>1087</v>
      </c>
      <c r="K76" s="147">
        <v>7424</v>
      </c>
      <c r="L76" s="147">
        <v>4640</v>
      </c>
      <c r="M76" s="147">
        <v>6350</v>
      </c>
      <c r="N76" s="147">
        <v>6031</v>
      </c>
      <c r="O76" s="145">
        <v>0.82</v>
      </c>
      <c r="P76" s="145">
        <v>0.51</v>
      </c>
      <c r="Q76" s="145">
        <v>0.7</v>
      </c>
      <c r="R76" s="145">
        <v>0.66</v>
      </c>
      <c r="S76" s="148">
        <f t="shared" si="25"/>
        <v>0.51</v>
      </c>
      <c r="T76" s="148">
        <f t="shared" si="26"/>
        <v>0.82</v>
      </c>
      <c r="U76" s="145"/>
      <c r="V76" s="141" t="s">
        <v>443</v>
      </c>
      <c r="W76" s="149">
        <v>1054</v>
      </c>
      <c r="X76" s="149">
        <v>3171</v>
      </c>
      <c r="Y76" s="149">
        <f t="shared" si="27"/>
        <v>6018.3228995354802</v>
      </c>
      <c r="Z76" s="150">
        <f t="shared" si="33"/>
        <v>0.17513184612965055</v>
      </c>
      <c r="AA76" s="150">
        <f t="shared" si="34"/>
        <v>0.52689097161017251</v>
      </c>
      <c r="AC76" s="29" t="s">
        <v>602</v>
      </c>
      <c r="AD76" s="28">
        <v>1108</v>
      </c>
      <c r="AE76" s="136">
        <v>808</v>
      </c>
      <c r="AF76" s="136">
        <v>1950</v>
      </c>
      <c r="AG76" s="137">
        <f t="shared" si="28"/>
        <v>4135.2015309999997</v>
      </c>
      <c r="AH76" s="138">
        <f t="shared" si="29"/>
        <v>0.26794341018055695</v>
      </c>
      <c r="AI76" s="138">
        <f t="shared" si="35"/>
        <v>0.19539555543852891</v>
      </c>
      <c r="AJ76" s="138">
        <f t="shared" si="36"/>
        <v>0.47156105582318236</v>
      </c>
    </row>
    <row r="77" spans="1:36">
      <c r="A77" s="145" t="str">
        <f t="shared" si="30"/>
        <v>Rwanda</v>
      </c>
      <c r="D77" s="145">
        <f t="shared" si="23"/>
        <v>1.7983264617413116E-2</v>
      </c>
      <c r="E77" s="145">
        <f t="shared" si="24"/>
        <v>0.44681495934034127</v>
      </c>
      <c r="F77" s="146">
        <f t="shared" si="31"/>
        <v>1.7983264617413116E-2</v>
      </c>
      <c r="G77" s="146">
        <f t="shared" si="32"/>
        <v>0.44681495934034127</v>
      </c>
      <c r="H77" s="145"/>
      <c r="I77" s="145"/>
      <c r="J77" s="141" t="s">
        <v>1088</v>
      </c>
      <c r="K77" s="147">
        <v>240</v>
      </c>
      <c r="L77" s="147">
        <v>211</v>
      </c>
      <c r="M77" s="147">
        <v>258</v>
      </c>
      <c r="N77" s="147">
        <v>277</v>
      </c>
      <c r="O77" s="145">
        <v>0.34</v>
      </c>
      <c r="P77" s="145">
        <v>0.3</v>
      </c>
      <c r="Q77" s="145">
        <v>0.37</v>
      </c>
      <c r="R77" s="145">
        <v>0.4</v>
      </c>
      <c r="S77" s="148">
        <f t="shared" si="25"/>
        <v>0.3</v>
      </c>
      <c r="T77" s="148">
        <f t="shared" si="26"/>
        <v>0.4</v>
      </c>
      <c r="U77" s="145"/>
      <c r="V77" s="141" t="s">
        <v>1089</v>
      </c>
      <c r="W77" s="149">
        <v>1504</v>
      </c>
      <c r="X77" s="149">
        <v>4679</v>
      </c>
      <c r="Y77" s="149">
        <f t="shared" si="27"/>
        <v>7076.5522652518803</v>
      </c>
      <c r="Z77" s="150">
        <f t="shared" si="33"/>
        <v>0.21253287527955073</v>
      </c>
      <c r="AA77" s="150">
        <f t="shared" si="34"/>
        <v>0.66119768845280436</v>
      </c>
      <c r="AC77" s="29" t="s">
        <v>443</v>
      </c>
      <c r="AD77" s="28">
        <v>4701</v>
      </c>
      <c r="AE77" s="136">
        <v>3429</v>
      </c>
      <c r="AF77" s="136">
        <v>8275</v>
      </c>
      <c r="AG77" s="137">
        <f t="shared" si="28"/>
        <v>3114.6227530000001</v>
      </c>
      <c r="AH77" s="138">
        <f t="shared" si="29"/>
        <v>1.5093320677350102</v>
      </c>
      <c r="AI77" s="138">
        <f t="shared" si="35"/>
        <v>1.1009358988009679</v>
      </c>
      <c r="AJ77" s="138">
        <f t="shared" si="36"/>
        <v>2.6568225612650944</v>
      </c>
    </row>
    <row r="78" spans="1:36">
      <c r="A78" s="145" t="str">
        <f t="shared" si="30"/>
        <v>Senegal</v>
      </c>
      <c r="D78" s="145">
        <f t="shared" si="23"/>
        <v>2.4769321499999376E-2</v>
      </c>
      <c r="E78" s="145">
        <f t="shared" si="24"/>
        <v>0.39630914399999001</v>
      </c>
      <c r="F78" s="146">
        <f t="shared" si="31"/>
        <v>2.4769321499999376E-2</v>
      </c>
      <c r="G78" s="146">
        <f t="shared" si="32"/>
        <v>0.39630914399999001</v>
      </c>
      <c r="H78" s="145"/>
      <c r="I78" s="145"/>
      <c r="J78" s="141" t="s">
        <v>1090</v>
      </c>
      <c r="K78" s="147">
        <v>352</v>
      </c>
      <c r="L78" s="147">
        <v>284</v>
      </c>
      <c r="M78" s="147">
        <v>351</v>
      </c>
      <c r="N78" s="147">
        <v>371</v>
      </c>
      <c r="O78" s="145">
        <v>0.39</v>
      </c>
      <c r="P78" s="145">
        <v>0.32</v>
      </c>
      <c r="Q78" s="145">
        <v>0.39</v>
      </c>
      <c r="R78" s="145">
        <v>0.41</v>
      </c>
      <c r="S78" s="148">
        <f t="shared" si="25"/>
        <v>0.32</v>
      </c>
      <c r="T78" s="148">
        <f t="shared" si="26"/>
        <v>0.41</v>
      </c>
      <c r="U78" s="145"/>
      <c r="V78" s="141" t="s">
        <v>1091</v>
      </c>
      <c r="W78" s="149">
        <v>23063</v>
      </c>
      <c r="X78" s="149">
        <v>29153</v>
      </c>
      <c r="Y78" s="149">
        <f t="shared" si="27"/>
        <v>51518.388103176498</v>
      </c>
      <c r="Z78" s="150">
        <f t="shared" si="33"/>
        <v>0.44766540354118711</v>
      </c>
      <c r="AA78" s="150">
        <f t="shared" si="34"/>
        <v>0.56587562370186995</v>
      </c>
      <c r="AC78" s="29" t="s">
        <v>1089</v>
      </c>
      <c r="AD78" s="28">
        <v>2270</v>
      </c>
      <c r="AE78" s="136">
        <v>1656</v>
      </c>
      <c r="AF78" s="136">
        <v>3996</v>
      </c>
      <c r="AG78" s="137">
        <f t="shared" si="28"/>
        <v>5980.6269179999999</v>
      </c>
      <c r="AH78" s="138">
        <f t="shared" si="29"/>
        <v>0.37955887085481632</v>
      </c>
      <c r="AI78" s="138">
        <f t="shared" si="35"/>
        <v>0.2768940485178748</v>
      </c>
      <c r="AJ78" s="138">
        <f t="shared" si="36"/>
        <v>0.66815737794530661</v>
      </c>
    </row>
    <row r="79" spans="1:36">
      <c r="A79" s="145" t="str">
        <f t="shared" si="30"/>
        <v>Sierra Leone</v>
      </c>
      <c r="D79" s="145">
        <f t="shared" si="23"/>
        <v>3.2085449885007875E-2</v>
      </c>
      <c r="E79" s="145">
        <f t="shared" si="24"/>
        <v>0.60683350869471409</v>
      </c>
      <c r="F79" s="146">
        <f t="shared" si="31"/>
        <v>3.2085449885007875E-2</v>
      </c>
      <c r="G79" s="146">
        <f t="shared" si="32"/>
        <v>0.60683350869471409</v>
      </c>
      <c r="H79" s="145"/>
      <c r="I79" s="145"/>
      <c r="J79" s="141" t="s">
        <v>1092</v>
      </c>
      <c r="K79" s="147">
        <v>108</v>
      </c>
      <c r="L79" s="147">
        <v>105</v>
      </c>
      <c r="M79" s="147">
        <v>116</v>
      </c>
      <c r="N79" s="147">
        <v>137</v>
      </c>
      <c r="O79" s="145">
        <v>0.17</v>
      </c>
      <c r="P79" s="145">
        <v>0.16</v>
      </c>
      <c r="Q79" s="145">
        <v>0.18</v>
      </c>
      <c r="R79" s="145">
        <v>0.21</v>
      </c>
      <c r="S79" s="148">
        <f t="shared" si="25"/>
        <v>0.16</v>
      </c>
      <c r="T79" s="148">
        <f t="shared" si="26"/>
        <v>0.21</v>
      </c>
      <c r="U79" s="145"/>
      <c r="V79" s="141" t="s">
        <v>1093</v>
      </c>
      <c r="W79" s="149">
        <v>16821</v>
      </c>
      <c r="X79" s="149">
        <v>19163</v>
      </c>
      <c r="Y79" s="149">
        <f t="shared" si="27"/>
        <v>36499.456108228398</v>
      </c>
      <c r="Z79" s="150">
        <f t="shared" si="33"/>
        <v>0.46085618235302667</v>
      </c>
      <c r="AA79" s="150">
        <f t="shared" si="34"/>
        <v>0.52502152205166464</v>
      </c>
      <c r="AC79" s="29" t="s">
        <v>1091</v>
      </c>
      <c r="AD79" s="28">
        <v>48890</v>
      </c>
      <c r="AE79" s="136">
        <v>41611</v>
      </c>
      <c r="AF79" s="136">
        <v>61233</v>
      </c>
      <c r="AG79" s="137">
        <f t="shared" si="28"/>
        <v>80886.615739999994</v>
      </c>
      <c r="AH79" s="138">
        <f t="shared" si="29"/>
        <v>0.60442632631770443</v>
      </c>
      <c r="AI79" s="138">
        <f t="shared" si="35"/>
        <v>0.51443616004103088</v>
      </c>
      <c r="AJ79" s="138">
        <f t="shared" si="36"/>
        <v>0.75702264756416426</v>
      </c>
    </row>
    <row r="80" spans="1:36">
      <c r="A80" s="145" t="str">
        <f t="shared" si="30"/>
        <v>South Africa</v>
      </c>
      <c r="D80" s="145">
        <f t="shared" si="23"/>
        <v>0.15735737774738012</v>
      </c>
      <c r="E80" s="145">
        <f t="shared" si="24"/>
        <v>0.63130440740523397</v>
      </c>
      <c r="F80" s="146">
        <f t="shared" si="31"/>
        <v>0.15735737774738012</v>
      </c>
      <c r="G80" s="146">
        <f t="shared" si="32"/>
        <v>0.63130440740523397</v>
      </c>
      <c r="H80" s="145"/>
      <c r="I80" s="145"/>
      <c r="J80" s="141" t="s">
        <v>1094</v>
      </c>
      <c r="K80" s="147">
        <v>3334</v>
      </c>
      <c r="L80" s="147">
        <v>2480</v>
      </c>
      <c r="M80" s="147">
        <v>3103</v>
      </c>
      <c r="N80" s="147">
        <v>3224</v>
      </c>
      <c r="O80" s="145">
        <v>0.57999999999999996</v>
      </c>
      <c r="P80" s="145">
        <v>0.43</v>
      </c>
      <c r="Q80" s="145">
        <v>0.54</v>
      </c>
      <c r="R80" s="145">
        <v>0.56000000000000005</v>
      </c>
      <c r="S80" s="148">
        <f t="shared" si="25"/>
        <v>0.43</v>
      </c>
      <c r="T80" s="148">
        <f t="shared" si="26"/>
        <v>0.57999999999999996</v>
      </c>
      <c r="U80" s="145"/>
      <c r="V80" s="141" t="s">
        <v>1095</v>
      </c>
      <c r="W80" s="149">
        <v>16867</v>
      </c>
      <c r="X80" s="149">
        <v>18094</v>
      </c>
      <c r="Y80" s="149">
        <f t="shared" si="27"/>
        <v>35549.974697295402</v>
      </c>
      <c r="Z80" s="150">
        <f t="shared" si="33"/>
        <v>0.47445884683803224</v>
      </c>
      <c r="AA80" s="150">
        <f t="shared" si="34"/>
        <v>0.50897363933641759</v>
      </c>
      <c r="AC80" s="29" t="s">
        <v>1093</v>
      </c>
      <c r="AD80" s="28">
        <v>30641</v>
      </c>
      <c r="AE80" s="136">
        <v>26079</v>
      </c>
      <c r="AF80" s="136">
        <v>38376</v>
      </c>
      <c r="AG80" s="137">
        <f t="shared" si="28"/>
        <v>43951.247730000003</v>
      </c>
      <c r="AH80" s="138">
        <f t="shared" si="29"/>
        <v>0.69715881988681827</v>
      </c>
      <c r="AI80" s="138">
        <f t="shared" si="35"/>
        <v>0.59336199418518754</v>
      </c>
      <c r="AJ80" s="138">
        <f t="shared" si="36"/>
        <v>0.87314927293419065</v>
      </c>
    </row>
    <row r="81" spans="1:36">
      <c r="A81" s="145" t="str">
        <f t="shared" si="30"/>
        <v>Sri Lanka</v>
      </c>
      <c r="D81" s="145">
        <f t="shared" si="23"/>
        <v>0.1254747069961811</v>
      </c>
      <c r="E81" s="145">
        <f t="shared" si="24"/>
        <v>0.46699857835664749</v>
      </c>
      <c r="F81" s="146">
        <f t="shared" si="31"/>
        <v>0.1254747069961811</v>
      </c>
      <c r="G81" s="146">
        <f t="shared" si="32"/>
        <v>0.46699857835664749</v>
      </c>
      <c r="H81" s="145"/>
      <c r="I81" s="145"/>
      <c r="J81" s="141" t="s">
        <v>1096</v>
      </c>
      <c r="K81" s="147">
        <v>1642</v>
      </c>
      <c r="L81" s="147">
        <v>1281</v>
      </c>
      <c r="M81" s="147">
        <v>2090</v>
      </c>
      <c r="N81" s="147">
        <v>1734</v>
      </c>
      <c r="O81" s="145">
        <v>0.42</v>
      </c>
      <c r="P81" s="145">
        <v>0.33</v>
      </c>
      <c r="Q81" s="145">
        <v>0.53</v>
      </c>
      <c r="R81" s="145">
        <v>0.44</v>
      </c>
      <c r="S81" s="148">
        <f t="shared" si="25"/>
        <v>0.33</v>
      </c>
      <c r="T81" s="148">
        <f t="shared" si="26"/>
        <v>0.53</v>
      </c>
      <c r="U81" s="145"/>
      <c r="V81" s="141" t="s">
        <v>1052</v>
      </c>
      <c r="W81" s="149">
        <v>668</v>
      </c>
      <c r="X81" s="149">
        <v>2719</v>
      </c>
      <c r="Y81" s="149">
        <f t="shared" si="27"/>
        <v>4989.7340889101197</v>
      </c>
      <c r="Z81" s="150">
        <f t="shared" si="33"/>
        <v>0.13387486950149433</v>
      </c>
      <c r="AA81" s="150">
        <f t="shared" si="34"/>
        <v>0.54491881762659145</v>
      </c>
      <c r="AC81" s="29" t="s">
        <v>1095</v>
      </c>
      <c r="AD81" s="28">
        <v>26357</v>
      </c>
      <c r="AE81" s="136">
        <v>22433</v>
      </c>
      <c r="AF81" s="136">
        <v>33011</v>
      </c>
      <c r="AG81" s="137">
        <f t="shared" si="28"/>
        <v>33641.633750000001</v>
      </c>
      <c r="AH81" s="138">
        <f t="shared" si="29"/>
        <v>0.78346373412973735</v>
      </c>
      <c r="AI81" s="138">
        <f t="shared" si="35"/>
        <v>0.66682254990068668</v>
      </c>
      <c r="AJ81" s="138">
        <f t="shared" si="36"/>
        <v>0.98125436610224082</v>
      </c>
    </row>
    <row r="82" spans="1:36">
      <c r="A82" s="145" t="str">
        <f t="shared" si="30"/>
        <v>Sudan</v>
      </c>
      <c r="D82" s="145">
        <f t="shared" si="23"/>
        <v>6.0803938287934518E-2</v>
      </c>
      <c r="E82" s="145">
        <f t="shared" si="24"/>
        <v>0.65219462377891668</v>
      </c>
      <c r="F82" s="146">
        <f t="shared" si="31"/>
        <v>6.0803938287934518E-2</v>
      </c>
      <c r="G82" s="146">
        <f t="shared" si="32"/>
        <v>0.65219462377891668</v>
      </c>
      <c r="H82" s="145"/>
      <c r="I82" s="145"/>
      <c r="J82" s="141" t="s">
        <v>1097</v>
      </c>
      <c r="K82" s="147">
        <v>315</v>
      </c>
      <c r="L82" s="147">
        <v>302</v>
      </c>
      <c r="M82" s="147">
        <v>389</v>
      </c>
      <c r="N82" s="147">
        <v>398</v>
      </c>
      <c r="O82" s="145">
        <v>0.13</v>
      </c>
      <c r="P82" s="145">
        <v>0.12</v>
      </c>
      <c r="Q82" s="145">
        <v>0.16</v>
      </c>
      <c r="R82" s="145">
        <v>0.16</v>
      </c>
      <c r="S82" s="148">
        <f t="shared" si="25"/>
        <v>0.12</v>
      </c>
      <c r="T82" s="148">
        <f t="shared" si="26"/>
        <v>0.16</v>
      </c>
      <c r="U82" s="145"/>
      <c r="V82" s="141" t="s">
        <v>1098</v>
      </c>
      <c r="W82" s="149">
        <v>19769</v>
      </c>
      <c r="X82" s="149">
        <v>19854</v>
      </c>
      <c r="Y82" s="149">
        <f t="shared" si="27"/>
        <v>40898.647896474402</v>
      </c>
      <c r="Z82" s="150">
        <f t="shared" si="33"/>
        <v>0.48336561272247225</v>
      </c>
      <c r="AA82" s="150">
        <f t="shared" si="34"/>
        <v>0.48544392103758227</v>
      </c>
      <c r="AC82" s="29" t="s">
        <v>1052</v>
      </c>
      <c r="AD82" s="28">
        <v>3074</v>
      </c>
      <c r="AE82" s="136">
        <v>2242</v>
      </c>
      <c r="AF82" s="136">
        <v>5409</v>
      </c>
      <c r="AG82" s="137">
        <f t="shared" si="28"/>
        <v>5369.4983709999997</v>
      </c>
      <c r="AH82" s="138">
        <f t="shared" si="29"/>
        <v>0.57249295699618719</v>
      </c>
      <c r="AI82" s="138">
        <f t="shared" si="35"/>
        <v>0.41754365959188411</v>
      </c>
      <c r="AJ82" s="138">
        <f t="shared" si="36"/>
        <v>1.0073566702642733</v>
      </c>
    </row>
    <row r="83" spans="1:36">
      <c r="A83" s="145" t="str">
        <f t="shared" si="30"/>
        <v>Swaziland</v>
      </c>
      <c r="D83" s="145" t="e">
        <f t="shared" si="23"/>
        <v>#DIV/0!</v>
      </c>
      <c r="E83" s="145" t="e">
        <f t="shared" si="24"/>
        <v>#DIV/0!</v>
      </c>
      <c r="F83" s="146" t="e">
        <f t="shared" si="31"/>
        <v>#DIV/0!</v>
      </c>
      <c r="G83" s="146" t="e">
        <f t="shared" si="32"/>
        <v>#DIV/0!</v>
      </c>
      <c r="H83" s="145"/>
      <c r="I83" s="145"/>
      <c r="J83" s="141" t="s">
        <v>1099</v>
      </c>
      <c r="K83" s="147">
        <v>2351</v>
      </c>
      <c r="L83" s="147">
        <v>1505</v>
      </c>
      <c r="M83" s="147">
        <v>1773</v>
      </c>
      <c r="N83" s="147">
        <v>1923</v>
      </c>
      <c r="O83" s="145">
        <v>0.73</v>
      </c>
      <c r="P83" s="145">
        <v>0.47</v>
      </c>
      <c r="Q83" s="145">
        <v>0.55000000000000004</v>
      </c>
      <c r="R83" s="145">
        <v>0.6</v>
      </c>
      <c r="S83" s="148">
        <f t="shared" si="25"/>
        <v>0.47</v>
      </c>
      <c r="T83" s="148">
        <f t="shared" si="26"/>
        <v>0.73</v>
      </c>
      <c r="U83" s="145"/>
      <c r="V83" s="141" t="s">
        <v>1054</v>
      </c>
      <c r="W83" s="149">
        <v>872</v>
      </c>
      <c r="X83" s="149">
        <v>3432</v>
      </c>
      <c r="Y83" s="149">
        <f t="shared" si="27"/>
        <v>4044.4268689118499</v>
      </c>
      <c r="Z83" s="150">
        <f t="shared" si="33"/>
        <v>0.21560533253865238</v>
      </c>
      <c r="AA83" s="150">
        <f t="shared" si="34"/>
        <v>0.84857511613836578</v>
      </c>
      <c r="AC83" s="29" t="s">
        <v>1098</v>
      </c>
      <c r="AD83" s="28">
        <v>39190</v>
      </c>
      <c r="AE83" s="136">
        <v>33355</v>
      </c>
      <c r="AF83" s="136">
        <v>49084</v>
      </c>
      <c r="AG83" s="137">
        <f t="shared" si="28"/>
        <v>40777.608699999997</v>
      </c>
      <c r="AH83" s="138">
        <f t="shared" si="29"/>
        <v>0.9610666551910878</v>
      </c>
      <c r="AI83" s="138">
        <f t="shared" si="35"/>
        <v>0.81797341882875052</v>
      </c>
      <c r="AJ83" s="138">
        <f t="shared" si="36"/>
        <v>1.2036998138147321</v>
      </c>
    </row>
    <row r="84" spans="1:36">
      <c r="A84" s="145" t="str">
        <f t="shared" si="30"/>
        <v>Tajikistan</v>
      </c>
      <c r="D84" s="145">
        <f t="shared" si="23"/>
        <v>3.5297745004069583E-2</v>
      </c>
      <c r="E84" s="145">
        <f t="shared" si="24"/>
        <v>0.50847832668024562</v>
      </c>
      <c r="F84" s="146">
        <f t="shared" si="31"/>
        <v>3.5297745004069583E-2</v>
      </c>
      <c r="G84" s="146">
        <f t="shared" si="32"/>
        <v>0.50847832668024562</v>
      </c>
      <c r="H84" s="145"/>
      <c r="I84" s="145"/>
      <c r="J84" s="141" t="s">
        <v>1100</v>
      </c>
      <c r="K84" s="147">
        <v>362</v>
      </c>
      <c r="L84" s="147">
        <v>323</v>
      </c>
      <c r="M84" s="147">
        <v>449</v>
      </c>
      <c r="N84" s="147">
        <v>432</v>
      </c>
      <c r="O84" s="145">
        <v>0.39</v>
      </c>
      <c r="P84" s="145">
        <v>0.35</v>
      </c>
      <c r="Q84" s="145">
        <v>0.48</v>
      </c>
      <c r="R84" s="145">
        <v>0.47</v>
      </c>
      <c r="S84" s="148">
        <f t="shared" si="25"/>
        <v>0.35</v>
      </c>
      <c r="T84" s="148">
        <f t="shared" si="26"/>
        <v>0.48</v>
      </c>
      <c r="U84" s="145"/>
      <c r="V84" s="141" t="s">
        <v>1055</v>
      </c>
      <c r="W84" s="149">
        <v>4485</v>
      </c>
      <c r="X84" s="149">
        <v>8018</v>
      </c>
      <c r="Y84" s="149">
        <f t="shared" si="27"/>
        <v>13890.6309562926</v>
      </c>
      <c r="Z84" s="150">
        <f t="shared" si="33"/>
        <v>0.32287950159443612</v>
      </c>
      <c r="AA84" s="150">
        <f t="shared" si="34"/>
        <v>0.5772235995059507</v>
      </c>
      <c r="AC84" s="29" t="s">
        <v>1054</v>
      </c>
      <c r="AD84" s="28">
        <v>3091</v>
      </c>
      <c r="AE84" s="136">
        <v>2255</v>
      </c>
      <c r="AF84" s="136">
        <v>5441</v>
      </c>
      <c r="AG84" s="137">
        <f t="shared" si="28"/>
        <v>4405.4871089999997</v>
      </c>
      <c r="AH84" s="138">
        <f t="shared" si="29"/>
        <v>0.70162502432145923</v>
      </c>
      <c r="AI84" s="138">
        <f t="shared" si="35"/>
        <v>0.51186167254768378</v>
      </c>
      <c r="AJ84" s="138">
        <f t="shared" si="36"/>
        <v>1.2350507141161631</v>
      </c>
    </row>
    <row r="85" spans="1:36">
      <c r="A85" s="145" t="str">
        <f t="shared" si="30"/>
        <v>Tanzania</v>
      </c>
      <c r="D85" s="145">
        <f t="shared" si="23"/>
        <v>1.8549059555947076E-2</v>
      </c>
      <c r="E85" s="145">
        <f t="shared" si="24"/>
        <v>0.36788968119295035</v>
      </c>
      <c r="F85" s="146">
        <f t="shared" si="31"/>
        <v>1.8549059555947076E-2</v>
      </c>
      <c r="G85" s="146">
        <f t="shared" si="32"/>
        <v>0.36788968119295035</v>
      </c>
      <c r="H85" s="145"/>
      <c r="I85" s="145"/>
      <c r="J85" s="141" t="s">
        <v>1101</v>
      </c>
      <c r="K85" s="147">
        <v>248</v>
      </c>
      <c r="L85" s="147">
        <v>231</v>
      </c>
      <c r="M85" s="147">
        <v>278</v>
      </c>
      <c r="N85" s="147">
        <v>305</v>
      </c>
      <c r="O85" s="145">
        <v>0.28000000000000003</v>
      </c>
      <c r="P85" s="145">
        <v>0.26</v>
      </c>
      <c r="Q85" s="145">
        <v>0.32</v>
      </c>
      <c r="R85" s="145">
        <v>0.35</v>
      </c>
      <c r="S85" s="148">
        <f t="shared" si="25"/>
        <v>0.26</v>
      </c>
      <c r="T85" s="148">
        <f t="shared" si="26"/>
        <v>0.35</v>
      </c>
      <c r="U85" s="145"/>
      <c r="V85" s="141" t="s">
        <v>382</v>
      </c>
      <c r="W85" s="149">
        <v>32</v>
      </c>
      <c r="X85" s="149">
        <v>519</v>
      </c>
      <c r="Y85" s="149">
        <f t="shared" si="27"/>
        <v>1354.8208334251999</v>
      </c>
      <c r="Z85" s="150">
        <f t="shared" si="33"/>
        <v>2.3619359261769671E-2</v>
      </c>
      <c r="AA85" s="150">
        <f t="shared" si="34"/>
        <v>0.38307648302682684</v>
      </c>
      <c r="AC85" s="29" t="s">
        <v>1055</v>
      </c>
      <c r="AD85" s="28">
        <v>2534</v>
      </c>
      <c r="AE85" s="136">
        <v>1848</v>
      </c>
      <c r="AF85" s="136">
        <v>4459</v>
      </c>
      <c r="AG85" s="137">
        <f t="shared" si="28"/>
        <v>9812.595808</v>
      </c>
      <c r="AH85" s="138">
        <f t="shared" si="29"/>
        <v>0.25823951679881524</v>
      </c>
      <c r="AI85" s="138">
        <f t="shared" si="35"/>
        <v>0.18832937136709177</v>
      </c>
      <c r="AJ85" s="138">
        <f t="shared" si="36"/>
        <v>0.4544159453062025</v>
      </c>
    </row>
    <row r="86" spans="1:36">
      <c r="A86" s="145" t="str">
        <f t="shared" si="30"/>
        <v>Thailand</v>
      </c>
      <c r="D86" s="145">
        <f t="shared" si="23"/>
        <v>0.19146400126329965</v>
      </c>
      <c r="E86" s="145">
        <f t="shared" si="24"/>
        <v>0.63924009905265922</v>
      </c>
      <c r="F86" s="146">
        <f t="shared" si="31"/>
        <v>0.19146400126329965</v>
      </c>
      <c r="G86" s="146">
        <f t="shared" si="32"/>
        <v>0.63924009905265922</v>
      </c>
      <c r="H86" s="145"/>
      <c r="I86" s="145"/>
      <c r="J86" s="141" t="s">
        <v>252</v>
      </c>
      <c r="K86" s="147">
        <v>6507</v>
      </c>
      <c r="L86" s="147">
        <v>4069</v>
      </c>
      <c r="M86" s="147">
        <v>6006</v>
      </c>
      <c r="N86" s="147">
        <v>5388</v>
      </c>
      <c r="O86" s="145">
        <v>1.1200000000000001</v>
      </c>
      <c r="P86" s="145">
        <v>0.7</v>
      </c>
      <c r="Q86" s="145">
        <v>1.03</v>
      </c>
      <c r="R86" s="145">
        <v>0.93</v>
      </c>
      <c r="S86" s="148">
        <f t="shared" si="25"/>
        <v>0.7</v>
      </c>
      <c r="T86" s="148">
        <f t="shared" si="26"/>
        <v>1.1200000000000001</v>
      </c>
      <c r="U86" s="145"/>
      <c r="V86" s="141" t="s">
        <v>1102</v>
      </c>
      <c r="W86" s="149">
        <v>43</v>
      </c>
      <c r="X86" s="149">
        <v>848</v>
      </c>
      <c r="Y86" s="149">
        <f t="shared" si="27"/>
        <v>1715.81432071566</v>
      </c>
      <c r="Z86" s="150">
        <f t="shared" si="33"/>
        <v>2.5060986775110289E-2</v>
      </c>
      <c r="AA86" s="150">
        <f t="shared" si="34"/>
        <v>0.49422597175101224</v>
      </c>
      <c r="AC86" s="29" t="s">
        <v>382</v>
      </c>
      <c r="AD86" s="28">
        <v>612</v>
      </c>
      <c r="AE86" s="136">
        <v>312</v>
      </c>
      <c r="AF86" s="136">
        <v>776</v>
      </c>
      <c r="AG86" s="137">
        <f t="shared" si="28"/>
        <v>1912.6478669999999</v>
      </c>
      <c r="AH86" s="138">
        <f t="shared" si="29"/>
        <v>0.31997526076764243</v>
      </c>
      <c r="AI86" s="138">
        <f t="shared" si="35"/>
        <v>0.16312464274428828</v>
      </c>
      <c r="AJ86" s="138">
        <f t="shared" si="36"/>
        <v>0.405720265287076</v>
      </c>
    </row>
    <row r="87" spans="1:36">
      <c r="A87" s="145" t="str">
        <f t="shared" si="30"/>
        <v>Gambia, The</v>
      </c>
      <c r="D87" s="145">
        <f t="shared" si="23"/>
        <v>1.7130228685586526E-2</v>
      </c>
      <c r="E87" s="145">
        <f t="shared" si="24"/>
        <v>0.35973480239731703</v>
      </c>
      <c r="F87" s="146">
        <f t="shared" si="31"/>
        <v>1.7130228685586526E-2</v>
      </c>
      <c r="G87" s="146">
        <f t="shared" si="32"/>
        <v>0.35973480239731703</v>
      </c>
      <c r="H87" s="145"/>
      <c r="I87" s="145"/>
      <c r="J87" s="141" t="s">
        <v>346</v>
      </c>
      <c r="K87" s="147">
        <v>266</v>
      </c>
      <c r="L87" s="147">
        <v>247</v>
      </c>
      <c r="M87" s="147">
        <v>312</v>
      </c>
      <c r="N87" s="147">
        <v>326</v>
      </c>
      <c r="O87" s="145">
        <v>0.56000000000000005</v>
      </c>
      <c r="P87" s="145">
        <v>0.52</v>
      </c>
      <c r="Q87" s="145">
        <v>0.66</v>
      </c>
      <c r="R87" s="145">
        <v>0.69</v>
      </c>
      <c r="S87" s="148">
        <f t="shared" si="25"/>
        <v>0.52</v>
      </c>
      <c r="T87" s="148">
        <f t="shared" si="26"/>
        <v>0.69</v>
      </c>
      <c r="U87" s="145"/>
      <c r="V87" s="141" t="s">
        <v>1103</v>
      </c>
      <c r="W87" s="149">
        <v>12227</v>
      </c>
      <c r="X87" s="149">
        <v>13722</v>
      </c>
      <c r="Y87" s="149">
        <f t="shared" si="27"/>
        <v>27182.734310193599</v>
      </c>
      <c r="Z87" s="150">
        <f t="shared" si="33"/>
        <v>0.44980758228633544</v>
      </c>
      <c r="AA87" s="150">
        <f t="shared" si="34"/>
        <v>0.50480572864423767</v>
      </c>
      <c r="AC87" s="29" t="s">
        <v>1102</v>
      </c>
      <c r="AD87" s="28">
        <v>1455</v>
      </c>
      <c r="AE87" s="136">
        <v>743</v>
      </c>
      <c r="AF87" s="136">
        <v>1845</v>
      </c>
      <c r="AG87" s="137">
        <f t="shared" si="28"/>
        <v>1601.8618690000001</v>
      </c>
      <c r="AH87" s="138">
        <f t="shared" si="29"/>
        <v>0.90831801927360811</v>
      </c>
      <c r="AI87" s="138">
        <f t="shared" si="35"/>
        <v>0.46383524970466722</v>
      </c>
      <c r="AJ87" s="138">
        <f t="shared" si="36"/>
        <v>1.151784704852101</v>
      </c>
    </row>
    <row r="88" spans="1:36">
      <c r="A88" s="145" t="str">
        <f t="shared" si="30"/>
        <v>Togo</v>
      </c>
      <c r="D88" s="145">
        <f t="shared" si="23"/>
        <v>2.0920540688505778E-2</v>
      </c>
      <c r="E88" s="145">
        <f t="shared" si="24"/>
        <v>0.526232061933953</v>
      </c>
      <c r="F88" s="146">
        <f t="shared" si="31"/>
        <v>2.0920540688505778E-2</v>
      </c>
      <c r="G88" s="146">
        <f t="shared" si="32"/>
        <v>0.526232061933953</v>
      </c>
      <c r="H88" s="145"/>
      <c r="I88" s="145"/>
      <c r="J88" s="141" t="s">
        <v>1104</v>
      </c>
      <c r="K88" s="147">
        <v>130</v>
      </c>
      <c r="L88" s="147">
        <v>117</v>
      </c>
      <c r="M88" s="147">
        <v>136</v>
      </c>
      <c r="N88" s="147">
        <v>153</v>
      </c>
      <c r="O88" s="145">
        <v>0.23</v>
      </c>
      <c r="P88" s="145">
        <v>0.21</v>
      </c>
      <c r="Q88" s="145">
        <v>0.24</v>
      </c>
      <c r="R88" s="145">
        <v>0.27</v>
      </c>
      <c r="S88" s="148">
        <f t="shared" si="25"/>
        <v>0.21</v>
      </c>
      <c r="T88" s="148">
        <f t="shared" si="26"/>
        <v>0.27</v>
      </c>
      <c r="U88" s="145"/>
      <c r="V88" s="141" t="s">
        <v>1105</v>
      </c>
      <c r="W88" s="149">
        <v>473</v>
      </c>
      <c r="X88" s="149">
        <v>1961</v>
      </c>
      <c r="Y88" s="149">
        <f t="shared" si="27"/>
        <v>3704.7842205966499</v>
      </c>
      <c r="Z88" s="150">
        <f t="shared" si="33"/>
        <v>0.12767275280713219</v>
      </c>
      <c r="AA88" s="150">
        <f t="shared" si="34"/>
        <v>0.52931557770567916</v>
      </c>
      <c r="AC88" s="29" t="s">
        <v>1103</v>
      </c>
      <c r="AD88" s="28">
        <v>23285</v>
      </c>
      <c r="AE88" s="136">
        <v>19818</v>
      </c>
      <c r="AF88" s="136">
        <v>29163</v>
      </c>
      <c r="AG88" s="137">
        <f t="shared" si="28"/>
        <v>31936.796350000001</v>
      </c>
      <c r="AH88" s="138">
        <f t="shared" si="29"/>
        <v>0.72909629835179135</v>
      </c>
      <c r="AI88" s="138">
        <f t="shared" si="35"/>
        <v>0.62053813359397891</v>
      </c>
      <c r="AJ88" s="138">
        <f t="shared" si="36"/>
        <v>0.91314732011308952</v>
      </c>
    </row>
    <row r="89" spans="1:36">
      <c r="A89" s="145" t="str">
        <f t="shared" si="30"/>
        <v>Tunisia</v>
      </c>
      <c r="D89" s="145">
        <f t="shared" si="23"/>
        <v>0.15253723033544223</v>
      </c>
      <c r="E89" s="145">
        <f t="shared" si="24"/>
        <v>0.58315118145938971</v>
      </c>
      <c r="F89" s="146">
        <f t="shared" si="31"/>
        <v>0.15253723033544223</v>
      </c>
      <c r="G89" s="146">
        <f t="shared" si="32"/>
        <v>0.58315118145938971</v>
      </c>
      <c r="H89" s="145"/>
      <c r="I89" s="145"/>
      <c r="J89" s="141" t="s">
        <v>583</v>
      </c>
      <c r="K89" s="147">
        <v>3553</v>
      </c>
      <c r="L89" s="147">
        <v>2763</v>
      </c>
      <c r="M89" s="147">
        <v>4730</v>
      </c>
      <c r="N89" s="147">
        <v>3706</v>
      </c>
      <c r="O89" s="145">
        <v>0.92</v>
      </c>
      <c r="P89" s="145">
        <v>0.71</v>
      </c>
      <c r="Q89" s="145">
        <v>1.22</v>
      </c>
      <c r="R89" s="145">
        <v>0.96</v>
      </c>
      <c r="S89" s="148">
        <f t="shared" si="25"/>
        <v>0.71</v>
      </c>
      <c r="T89" s="148">
        <f t="shared" si="26"/>
        <v>1.22</v>
      </c>
      <c r="U89" s="145"/>
      <c r="V89" s="141" t="s">
        <v>1106</v>
      </c>
      <c r="W89" s="149">
        <v>58</v>
      </c>
      <c r="X89" s="149">
        <v>649</v>
      </c>
      <c r="Y89" s="149">
        <f t="shared" si="27"/>
        <v>1282.43716202467</v>
      </c>
      <c r="Z89" s="150">
        <f t="shared" si="33"/>
        <v>4.5226387473388162E-2</v>
      </c>
      <c r="AA89" s="150">
        <f t="shared" si="34"/>
        <v>0.50606768052118822</v>
      </c>
      <c r="AC89" s="29" t="s">
        <v>1182</v>
      </c>
      <c r="AD89" s="28">
        <v>13384</v>
      </c>
      <c r="AE89" s="136">
        <v>11391</v>
      </c>
      <c r="AF89" s="136">
        <v>16762</v>
      </c>
      <c r="AG89" s="137">
        <f t="shared" si="28"/>
        <v>32373.251120000001</v>
      </c>
      <c r="AH89" s="138">
        <f t="shared" si="29"/>
        <v>0.41342773854836734</v>
      </c>
      <c r="AI89" s="138">
        <f t="shared" si="35"/>
        <v>0.35186456737929261</v>
      </c>
      <c r="AJ89" s="138">
        <f t="shared" si="36"/>
        <v>0.51777314357051207</v>
      </c>
    </row>
    <row r="90" spans="1:36">
      <c r="A90" s="145" t="str">
        <f t="shared" si="30"/>
        <v>Turkey</v>
      </c>
      <c r="D90" s="145">
        <f t="shared" si="23"/>
        <v>0.2338526413848058</v>
      </c>
      <c r="E90" s="145">
        <f t="shared" si="24"/>
        <v>0.54388575340378054</v>
      </c>
      <c r="F90" s="146">
        <f t="shared" si="31"/>
        <v>0.2338526413848058</v>
      </c>
      <c r="G90" s="146">
        <f t="shared" si="32"/>
        <v>0.54388575340378054</v>
      </c>
      <c r="H90" s="145"/>
      <c r="I90" s="145"/>
      <c r="J90" s="141" t="s">
        <v>455</v>
      </c>
      <c r="K90" s="147">
        <v>9104</v>
      </c>
      <c r="L90" s="147">
        <v>7446</v>
      </c>
      <c r="M90" s="147">
        <v>13032</v>
      </c>
      <c r="N90" s="147">
        <v>10028</v>
      </c>
      <c r="O90" s="145">
        <v>1</v>
      </c>
      <c r="P90" s="145">
        <v>0.82</v>
      </c>
      <c r="Q90" s="145">
        <v>1.43</v>
      </c>
      <c r="R90" s="145">
        <v>1.1000000000000001</v>
      </c>
      <c r="S90" s="148">
        <f t="shared" si="25"/>
        <v>0.82</v>
      </c>
      <c r="T90" s="148">
        <f t="shared" si="26"/>
        <v>1.43</v>
      </c>
      <c r="U90" s="145"/>
      <c r="V90" s="141" t="s">
        <v>1107</v>
      </c>
      <c r="W90" s="149">
        <v>113</v>
      </c>
      <c r="X90" s="149">
        <v>852</v>
      </c>
      <c r="Y90" s="149">
        <f t="shared" si="27"/>
        <v>1831.9369158116799</v>
      </c>
      <c r="Z90" s="150">
        <f t="shared" si="33"/>
        <v>6.1683346748833252E-2</v>
      </c>
      <c r="AA90" s="150">
        <f t="shared" si="34"/>
        <v>0.46508151707969853</v>
      </c>
      <c r="AC90" s="29" t="s">
        <v>1106</v>
      </c>
      <c r="AD90" s="28">
        <v>460</v>
      </c>
      <c r="AE90" s="136">
        <v>235</v>
      </c>
      <c r="AF90" s="136">
        <v>584</v>
      </c>
      <c r="AG90" s="137">
        <f t="shared" si="28"/>
        <v>1374.032105</v>
      </c>
      <c r="AH90" s="138">
        <f t="shared" si="29"/>
        <v>0.33478111488523044</v>
      </c>
      <c r="AI90" s="138">
        <f t="shared" si="35"/>
        <v>0.1710294826044112</v>
      </c>
      <c r="AJ90" s="138">
        <f t="shared" si="36"/>
        <v>0.4250264588977708</v>
      </c>
    </row>
    <row r="91" spans="1:36">
      <c r="A91" s="145" t="str">
        <f t="shared" si="30"/>
        <v>Turkmenistan</v>
      </c>
      <c r="D91" s="145">
        <f t="shared" si="23"/>
        <v>0.21740660890675212</v>
      </c>
      <c r="E91" s="145">
        <f t="shared" si="24"/>
        <v>0.75229805789836457</v>
      </c>
      <c r="F91" s="146">
        <f t="shared" si="31"/>
        <v>0.21740660890675212</v>
      </c>
      <c r="G91" s="146">
        <f t="shared" si="32"/>
        <v>0.75229805789836457</v>
      </c>
      <c r="H91" s="145"/>
      <c r="I91" s="145"/>
      <c r="J91" s="141" t="s">
        <v>1108</v>
      </c>
      <c r="K91" s="147">
        <v>1971</v>
      </c>
      <c r="L91" s="147">
        <v>1636</v>
      </c>
      <c r="M91" s="147">
        <v>2230</v>
      </c>
      <c r="N91" s="147">
        <v>2181</v>
      </c>
      <c r="O91" s="145">
        <v>0.3</v>
      </c>
      <c r="P91" s="145">
        <v>0.25</v>
      </c>
      <c r="Q91" s="145">
        <v>0.33</v>
      </c>
      <c r="R91" s="145">
        <v>0.33</v>
      </c>
      <c r="S91" s="148">
        <f t="shared" si="25"/>
        <v>0.25</v>
      </c>
      <c r="T91" s="148">
        <f t="shared" si="26"/>
        <v>0.33</v>
      </c>
      <c r="U91" s="145"/>
      <c r="V91" s="141" t="s">
        <v>1109</v>
      </c>
      <c r="W91" s="149">
        <v>5133</v>
      </c>
      <c r="X91" s="149">
        <v>9270</v>
      </c>
      <c r="Y91" s="149">
        <f t="shared" si="27"/>
        <v>15007.491856171901</v>
      </c>
      <c r="Z91" s="150">
        <f t="shared" si="33"/>
        <v>0.34202917110956355</v>
      </c>
      <c r="AA91" s="150">
        <f t="shared" si="34"/>
        <v>0.61769148961341391</v>
      </c>
      <c r="AC91" s="29" t="s">
        <v>1107</v>
      </c>
      <c r="AD91" s="28">
        <v>494</v>
      </c>
      <c r="AE91" s="136">
        <v>252</v>
      </c>
      <c r="AF91" s="136">
        <v>627</v>
      </c>
      <c r="AG91" s="137">
        <f t="shared" si="28"/>
        <v>2635.8000149999998</v>
      </c>
      <c r="AH91" s="138">
        <f t="shared" si="29"/>
        <v>0.18741937824899815</v>
      </c>
      <c r="AI91" s="138">
        <f t="shared" si="35"/>
        <v>9.560664639422578E-2</v>
      </c>
      <c r="AJ91" s="138">
        <f t="shared" si="36"/>
        <v>0.23787844162372845</v>
      </c>
    </row>
    <row r="92" spans="1:36">
      <c r="A92" s="145" t="str">
        <f t="shared" si="30"/>
        <v>Uganda</v>
      </c>
      <c r="D92" s="145">
        <f t="shared" si="23"/>
        <v>1.3578731543670973E-2</v>
      </c>
      <c r="E92" s="145">
        <f t="shared" si="24"/>
        <v>0.36168803111778136</v>
      </c>
      <c r="F92" s="146">
        <f t="shared" si="31"/>
        <v>1.3578731543670973E-2</v>
      </c>
      <c r="G92" s="146">
        <f t="shared" si="32"/>
        <v>0.36168803111778136</v>
      </c>
      <c r="H92" s="145"/>
      <c r="I92" s="145"/>
      <c r="J92" s="141" t="s">
        <v>1110</v>
      </c>
      <c r="K92" s="147">
        <v>129</v>
      </c>
      <c r="L92" s="147">
        <v>117</v>
      </c>
      <c r="M92" s="147">
        <v>136</v>
      </c>
      <c r="N92" s="147">
        <v>154</v>
      </c>
      <c r="O92" s="145">
        <v>0.18</v>
      </c>
      <c r="P92" s="145">
        <v>0.17</v>
      </c>
      <c r="Q92" s="145">
        <v>0.19</v>
      </c>
      <c r="R92" s="145">
        <v>0.22</v>
      </c>
      <c r="S92" s="148">
        <f t="shared" si="25"/>
        <v>0.17</v>
      </c>
      <c r="T92" s="148">
        <f t="shared" si="26"/>
        <v>0.22</v>
      </c>
      <c r="U92" s="145"/>
      <c r="V92" s="141" t="s">
        <v>1057</v>
      </c>
      <c r="W92" s="149">
        <v>2420</v>
      </c>
      <c r="X92" s="149">
        <v>6416</v>
      </c>
      <c r="Y92" s="149">
        <f t="shared" si="27"/>
        <v>7933.2333196140398</v>
      </c>
      <c r="Z92" s="150">
        <f t="shared" si="33"/>
        <v>0.30504586245015869</v>
      </c>
      <c r="AA92" s="150">
        <f t="shared" si="34"/>
        <v>0.80874969152075127</v>
      </c>
      <c r="AC92" s="29" t="s">
        <v>1109</v>
      </c>
      <c r="AD92" s="28">
        <v>9369</v>
      </c>
      <c r="AE92" s="136">
        <v>7974</v>
      </c>
      <c r="AF92" s="136">
        <v>11734</v>
      </c>
      <c r="AG92" s="137">
        <f t="shared" si="28"/>
        <v>17926.84159</v>
      </c>
      <c r="AH92" s="138">
        <f t="shared" si="29"/>
        <v>0.52262413057893264</v>
      </c>
      <c r="AI92" s="138">
        <f t="shared" si="35"/>
        <v>0.44480785753403873</v>
      </c>
      <c r="AJ92" s="138">
        <f t="shared" si="36"/>
        <v>0.65454920997045529</v>
      </c>
    </row>
    <row r="93" spans="1:36">
      <c r="A93" s="145" t="str">
        <f t="shared" si="30"/>
        <v>Ukraine</v>
      </c>
      <c r="D93" s="145">
        <f t="shared" si="23"/>
        <v>0.12085233149237692</v>
      </c>
      <c r="E93" s="145">
        <f t="shared" si="24"/>
        <v>0.49755426004561748</v>
      </c>
      <c r="F93" s="146">
        <f t="shared" si="31"/>
        <v>0.12085233149237692</v>
      </c>
      <c r="G93" s="146">
        <f t="shared" si="32"/>
        <v>0.49755426004561748</v>
      </c>
      <c r="H93" s="145"/>
      <c r="I93" s="145"/>
      <c r="J93" s="141" t="s">
        <v>1111</v>
      </c>
      <c r="K93" s="147">
        <v>1626</v>
      </c>
      <c r="L93" s="147">
        <v>1059</v>
      </c>
      <c r="M93" s="147">
        <v>1439</v>
      </c>
      <c r="N93" s="147">
        <v>1383</v>
      </c>
      <c r="O93" s="145">
        <v>0.77</v>
      </c>
      <c r="P93" s="145">
        <v>0.5</v>
      </c>
      <c r="Q93" s="145">
        <v>0.68</v>
      </c>
      <c r="R93" s="145">
        <v>0.65</v>
      </c>
      <c r="S93" s="148">
        <f t="shared" si="25"/>
        <v>0.5</v>
      </c>
      <c r="T93" s="148">
        <f t="shared" si="26"/>
        <v>0.77</v>
      </c>
      <c r="U93" s="145"/>
      <c r="V93" s="141" t="s">
        <v>1059</v>
      </c>
      <c r="W93" s="149">
        <v>41</v>
      </c>
      <c r="X93" s="149">
        <v>581</v>
      </c>
      <c r="Y93" s="149">
        <f t="shared" si="27"/>
        <v>1166.9117557182999</v>
      </c>
      <c r="Z93" s="150">
        <f t="shared" si="33"/>
        <v>3.5135476011004953E-2</v>
      </c>
      <c r="AA93" s="150">
        <f t="shared" si="34"/>
        <v>0.49789540396082632</v>
      </c>
      <c r="AC93" s="29" t="s">
        <v>1057</v>
      </c>
      <c r="AD93" s="28">
        <v>7053</v>
      </c>
      <c r="AE93" s="136">
        <v>5145</v>
      </c>
      <c r="AF93" s="136">
        <v>12413</v>
      </c>
      <c r="AG93" s="137">
        <f t="shared" si="28"/>
        <v>7578.1723679999996</v>
      </c>
      <c r="AH93" s="138">
        <f t="shared" si="29"/>
        <v>0.93069933718878961</v>
      </c>
      <c r="AI93" s="138">
        <f t="shared" si="35"/>
        <v>0.67892359135634806</v>
      </c>
      <c r="AJ93" s="138">
        <f t="shared" si="36"/>
        <v>1.637993885229611</v>
      </c>
    </row>
    <row r="94" spans="1:36">
      <c r="A94" s="145" t="str">
        <f t="shared" si="30"/>
        <v>Uzbekistan</v>
      </c>
      <c r="D94" s="145">
        <f t="shared" si="23"/>
        <v>5.7031422620722631E-2</v>
      </c>
      <c r="E94" s="145">
        <f t="shared" si="24"/>
        <v>0.39880668716664736</v>
      </c>
      <c r="F94" s="146">
        <f t="shared" si="31"/>
        <v>5.7031422620722631E-2</v>
      </c>
      <c r="G94" s="146">
        <f t="shared" si="32"/>
        <v>0.39880668716664736</v>
      </c>
      <c r="H94" s="145"/>
      <c r="I94" s="145"/>
      <c r="J94" s="141" t="s">
        <v>1112</v>
      </c>
      <c r="K94" s="147">
        <v>1218</v>
      </c>
      <c r="L94" s="147">
        <v>985</v>
      </c>
      <c r="M94" s="147">
        <v>1426</v>
      </c>
      <c r="N94" s="147">
        <v>1318</v>
      </c>
      <c r="O94" s="145">
        <v>0.56999999999999995</v>
      </c>
      <c r="P94" s="145">
        <v>0.46</v>
      </c>
      <c r="Q94" s="145">
        <v>0.67</v>
      </c>
      <c r="R94" s="145">
        <v>0.62</v>
      </c>
      <c r="S94" s="148">
        <f t="shared" si="25"/>
        <v>0.46</v>
      </c>
      <c r="T94" s="148">
        <f t="shared" si="26"/>
        <v>0.67</v>
      </c>
      <c r="U94" s="145"/>
      <c r="V94" s="141" t="s">
        <v>1113</v>
      </c>
      <c r="W94" s="149">
        <v>6</v>
      </c>
      <c r="X94" s="149">
        <v>234</v>
      </c>
      <c r="Y94" s="149">
        <f t="shared" si="27"/>
        <v>747.86866013689598</v>
      </c>
      <c r="Z94" s="150">
        <f t="shared" si="33"/>
        <v>8.0227990819961778E-3</v>
      </c>
      <c r="AA94" s="150">
        <f t="shared" si="34"/>
        <v>0.3128891641978509</v>
      </c>
      <c r="AC94" s="29" t="s">
        <v>1059</v>
      </c>
      <c r="AD94" s="28">
        <v>788</v>
      </c>
      <c r="AE94" s="136">
        <v>403</v>
      </c>
      <c r="AF94" s="136">
        <v>1000</v>
      </c>
      <c r="AG94" s="137">
        <f t="shared" si="28"/>
        <v>1113.3721399999999</v>
      </c>
      <c r="AH94" s="138">
        <f t="shared" si="29"/>
        <v>0.70775976126005813</v>
      </c>
      <c r="AI94" s="138">
        <f t="shared" si="35"/>
        <v>0.36196343120279623</v>
      </c>
      <c r="AJ94" s="138">
        <f t="shared" si="36"/>
        <v>0.89817228586301801</v>
      </c>
    </row>
    <row r="95" spans="1:36">
      <c r="A95" s="145" t="str">
        <f t="shared" si="30"/>
        <v>Venezuela</v>
      </c>
      <c r="D95" s="145" t="e">
        <f t="shared" si="23"/>
        <v>#N/A</v>
      </c>
      <c r="E95" s="145" t="e">
        <f t="shared" si="24"/>
        <v>#N/A</v>
      </c>
      <c r="F95" s="146" t="e">
        <f t="shared" si="31"/>
        <v>#N/A</v>
      </c>
      <c r="G95" s="146" t="e">
        <f t="shared" si="32"/>
        <v>#N/A</v>
      </c>
      <c r="H95" s="145"/>
      <c r="I95" s="145"/>
      <c r="J95" s="141" t="s">
        <v>1114</v>
      </c>
      <c r="K95" s="147">
        <v>4886</v>
      </c>
      <c r="L95" s="147">
        <v>3618</v>
      </c>
      <c r="M95" s="147">
        <v>5540</v>
      </c>
      <c r="N95" s="147">
        <v>4821</v>
      </c>
      <c r="O95" s="145">
        <v>0.4</v>
      </c>
      <c r="P95" s="145">
        <v>0.28999999999999998</v>
      </c>
      <c r="Q95" s="145">
        <v>0.45</v>
      </c>
      <c r="R95" s="145">
        <v>0.39</v>
      </c>
      <c r="S95" s="148">
        <f t="shared" si="25"/>
        <v>0.28999999999999998</v>
      </c>
      <c r="T95" s="148">
        <f t="shared" si="26"/>
        <v>0.45</v>
      </c>
      <c r="U95" s="145"/>
      <c r="V95" s="141" t="s">
        <v>1115</v>
      </c>
      <c r="W95" s="149">
        <v>3697</v>
      </c>
      <c r="X95" s="149">
        <v>7349</v>
      </c>
      <c r="Y95" s="149">
        <f t="shared" si="27"/>
        <v>10363.804247198799</v>
      </c>
      <c r="Z95" s="150">
        <f t="shared" si="33"/>
        <v>0.35672229152719193</v>
      </c>
      <c r="AA95" s="150">
        <f t="shared" si="34"/>
        <v>0.70910254812911377</v>
      </c>
      <c r="AC95" s="29" t="s">
        <v>1113</v>
      </c>
      <c r="AD95" s="28">
        <v>245</v>
      </c>
      <c r="AE95" s="136">
        <v>77</v>
      </c>
      <c r="AF95" s="136">
        <v>386</v>
      </c>
      <c r="AG95" s="137">
        <f t="shared" si="28"/>
        <v>672.34049919999995</v>
      </c>
      <c r="AH95" s="138">
        <f t="shared" si="29"/>
        <v>0.36439869425018867</v>
      </c>
      <c r="AI95" s="138">
        <f t="shared" si="35"/>
        <v>0.11452530390720216</v>
      </c>
      <c r="AJ95" s="138">
        <f t="shared" si="36"/>
        <v>0.57411386114519525</v>
      </c>
    </row>
    <row r="96" spans="1:36">
      <c r="A96" s="145" t="str">
        <f t="shared" si="30"/>
        <v>Vietnam</v>
      </c>
      <c r="D96" s="145">
        <f t="shared" si="23"/>
        <v>7.6324137522850999E-2</v>
      </c>
      <c r="E96" s="145">
        <f t="shared" si="24"/>
        <v>0.52048821560722003</v>
      </c>
      <c r="F96" s="146">
        <f t="shared" si="31"/>
        <v>7.6324137522850999E-2</v>
      </c>
      <c r="G96" s="146">
        <f t="shared" si="32"/>
        <v>0.52048821560722003</v>
      </c>
      <c r="H96" s="145"/>
      <c r="I96" s="145"/>
      <c r="J96" s="141" t="s">
        <v>1116</v>
      </c>
      <c r="K96" s="147">
        <v>1725</v>
      </c>
      <c r="L96" s="147">
        <v>1198</v>
      </c>
      <c r="M96" s="147">
        <v>1813</v>
      </c>
      <c r="N96" s="147">
        <v>1602</v>
      </c>
      <c r="O96" s="145">
        <v>0.82</v>
      </c>
      <c r="P96" s="145">
        <v>0.56999999999999995</v>
      </c>
      <c r="Q96" s="145">
        <v>0.86</v>
      </c>
      <c r="R96" s="145">
        <v>0.76</v>
      </c>
      <c r="S96" s="148">
        <f t="shared" si="25"/>
        <v>0.56999999999999995</v>
      </c>
      <c r="T96" s="148">
        <f t="shared" si="26"/>
        <v>0.86</v>
      </c>
      <c r="U96" s="145"/>
      <c r="V96" s="141" t="s">
        <v>1117</v>
      </c>
      <c r="W96" s="149">
        <v>5598</v>
      </c>
      <c r="X96" s="149">
        <v>8886</v>
      </c>
      <c r="Y96" s="149">
        <f t="shared" si="27"/>
        <v>15729.6524666512</v>
      </c>
      <c r="Z96" s="150">
        <f t="shared" si="33"/>
        <v>0.35588834603106773</v>
      </c>
      <c r="AA96" s="150">
        <f t="shared" si="34"/>
        <v>0.56492030061308818</v>
      </c>
      <c r="AC96" s="29" t="s">
        <v>1117</v>
      </c>
      <c r="AD96" s="28">
        <v>11189</v>
      </c>
      <c r="AE96" s="136">
        <v>9523</v>
      </c>
      <c r="AF96" s="136">
        <v>14013</v>
      </c>
      <c r="AG96" s="137">
        <f t="shared" si="28"/>
        <v>19575.768479999999</v>
      </c>
      <c r="AH96" s="138">
        <f t="shared" si="29"/>
        <v>0.57157398502293688</v>
      </c>
      <c r="AI96" s="138">
        <f t="shared" si="35"/>
        <v>0.48646876927101873</v>
      </c>
      <c r="AJ96" s="138">
        <f t="shared" si="36"/>
        <v>0.71583396658561227</v>
      </c>
    </row>
    <row r="97" spans="1:36">
      <c r="A97" s="145" t="str">
        <f t="shared" si="30"/>
        <v>Yemen</v>
      </c>
      <c r="D97" s="145" t="e">
        <f t="shared" si="23"/>
        <v>#N/A</v>
      </c>
      <c r="E97" s="145" t="e">
        <f t="shared" si="24"/>
        <v>#N/A</v>
      </c>
      <c r="F97" s="146" t="e">
        <f t="shared" si="31"/>
        <v>#N/A</v>
      </c>
      <c r="G97" s="146" t="e">
        <f t="shared" si="32"/>
        <v>#N/A</v>
      </c>
      <c r="H97" s="145"/>
      <c r="I97" s="145"/>
      <c r="J97" s="141" t="s">
        <v>1118</v>
      </c>
      <c r="K97" s="147">
        <v>219</v>
      </c>
      <c r="L97" s="147">
        <v>202</v>
      </c>
      <c r="M97" s="147">
        <v>260</v>
      </c>
      <c r="N97" s="147">
        <v>267</v>
      </c>
      <c r="O97" s="145">
        <v>0.16</v>
      </c>
      <c r="P97" s="145">
        <v>0.14000000000000001</v>
      </c>
      <c r="Q97" s="145">
        <v>0.19</v>
      </c>
      <c r="R97" s="145">
        <v>0.19</v>
      </c>
      <c r="S97" s="148">
        <f t="shared" si="25"/>
        <v>0.14000000000000001</v>
      </c>
      <c r="T97" s="148">
        <f t="shared" si="26"/>
        <v>0.19</v>
      </c>
      <c r="U97" s="145"/>
      <c r="V97" s="141" t="s">
        <v>1119</v>
      </c>
      <c r="W97" s="149">
        <v>43092</v>
      </c>
      <c r="X97" s="149">
        <v>143342</v>
      </c>
      <c r="Y97" s="149">
        <f t="shared" si="27"/>
        <v>119966.03488852301</v>
      </c>
      <c r="Z97" s="150">
        <f t="shared" si="33"/>
        <v>0.35920166937285808</v>
      </c>
      <c r="AA97" s="150">
        <f t="shared" si="34"/>
        <v>1.1948548614880772</v>
      </c>
      <c r="AC97" s="29" t="s">
        <v>1119</v>
      </c>
      <c r="AD97" s="28">
        <v>55563</v>
      </c>
      <c r="AE97" s="136">
        <v>47291</v>
      </c>
      <c r="AF97" s="136">
        <v>69590</v>
      </c>
      <c r="AG97" s="137">
        <f t="shared" si="28"/>
        <v>113218.7133</v>
      </c>
      <c r="AH97" s="138">
        <f t="shared" si="29"/>
        <v>0.49075809449249408</v>
      </c>
      <c r="AI97" s="138">
        <f t="shared" si="35"/>
        <v>0.41769596757994598</v>
      </c>
      <c r="AJ97" s="138">
        <f t="shared" si="36"/>
        <v>0.61465104108368274</v>
      </c>
    </row>
    <row r="98" spans="1:36">
      <c r="A98" s="145" t="str">
        <f t="shared" si="30"/>
        <v>Zambia</v>
      </c>
      <c r="D98" s="145">
        <f t="shared" si="23"/>
        <v>3.6202047257534772E-2</v>
      </c>
      <c r="E98" s="145">
        <f t="shared" si="24"/>
        <v>0.40887018079098092</v>
      </c>
      <c r="F98" s="146">
        <f t="shared" si="31"/>
        <v>3.6202047257534772E-2</v>
      </c>
      <c r="G98" s="146">
        <f t="shared" si="32"/>
        <v>0.40887018079098092</v>
      </c>
      <c r="H98" s="145"/>
      <c r="I98" s="145"/>
      <c r="J98" s="141" t="s">
        <v>1120</v>
      </c>
      <c r="K98" s="147">
        <v>575</v>
      </c>
      <c r="L98" s="147">
        <v>417</v>
      </c>
      <c r="M98" s="147">
        <v>483</v>
      </c>
      <c r="N98" s="147">
        <v>539</v>
      </c>
      <c r="O98" s="145">
        <v>0.44</v>
      </c>
      <c r="P98" s="145">
        <v>0.32</v>
      </c>
      <c r="Q98" s="145">
        <v>0.37</v>
      </c>
      <c r="R98" s="145">
        <v>0.41</v>
      </c>
      <c r="S98" s="148">
        <f t="shared" si="25"/>
        <v>0.32</v>
      </c>
      <c r="T98" s="148">
        <f t="shared" si="26"/>
        <v>0.44</v>
      </c>
      <c r="U98" s="145"/>
      <c r="V98" s="141" t="s">
        <v>1121</v>
      </c>
      <c r="W98" s="149">
        <v>30832</v>
      </c>
      <c r="X98" s="149">
        <v>184977</v>
      </c>
      <c r="Y98" s="149">
        <f t="shared" si="27"/>
        <v>89260.757104100499</v>
      </c>
      <c r="Z98" s="150">
        <f t="shared" si="33"/>
        <v>0.34541495053690985</v>
      </c>
      <c r="AA98" s="150">
        <f t="shared" si="34"/>
        <v>2.0723216562488966</v>
      </c>
      <c r="AC98" s="29" t="s">
        <v>1062</v>
      </c>
      <c r="AD98" s="28">
        <v>97</v>
      </c>
      <c r="AE98" s="136">
        <v>31</v>
      </c>
      <c r="AF98" s="136">
        <v>153</v>
      </c>
      <c r="AG98" s="137">
        <f t="shared" si="28"/>
        <v>522.98952429999997</v>
      </c>
      <c r="AH98" s="138">
        <f t="shared" si="29"/>
        <v>0.18547216625386623</v>
      </c>
      <c r="AI98" s="138">
        <f t="shared" si="35"/>
        <v>5.9274609833709822E-2</v>
      </c>
      <c r="AJ98" s="138">
        <f t="shared" si="36"/>
        <v>0.29254888079218072</v>
      </c>
    </row>
    <row r="99" spans="1:36">
      <c r="A99" s="145" t="str">
        <f t="shared" si="30"/>
        <v>Zimbabwe</v>
      </c>
      <c r="D99" s="145">
        <f t="shared" si="23"/>
        <v>1.4685330485222935E-2</v>
      </c>
      <c r="E99" s="145">
        <f t="shared" si="24"/>
        <v>0.31818216051316361</v>
      </c>
      <c r="F99" s="146">
        <f t="shared" si="31"/>
        <v>1.4685330485222935E-2</v>
      </c>
      <c r="G99" s="146">
        <f t="shared" si="32"/>
        <v>0.31818216051316361</v>
      </c>
      <c r="H99" s="145"/>
      <c r="I99" s="145"/>
      <c r="J99" s="141" t="s">
        <v>1122</v>
      </c>
      <c r="K99" s="147">
        <v>273</v>
      </c>
      <c r="L99" s="147">
        <v>202</v>
      </c>
      <c r="M99" s="147">
        <v>239</v>
      </c>
      <c r="N99" s="147">
        <v>263</v>
      </c>
      <c r="O99" s="145">
        <v>0.3</v>
      </c>
      <c r="P99" s="145">
        <v>0.22</v>
      </c>
      <c r="Q99" s="145">
        <v>0.26</v>
      </c>
      <c r="R99" s="145">
        <v>0.28000000000000003</v>
      </c>
      <c r="S99" s="148">
        <f t="shared" ref="S99" si="37">MIN(O99:R99)</f>
        <v>0.22</v>
      </c>
      <c r="T99" s="148">
        <f t="shared" si="26"/>
        <v>0.3</v>
      </c>
      <c r="U99" s="145"/>
      <c r="V99" s="141" t="s">
        <v>1123</v>
      </c>
      <c r="W99" s="149">
        <v>824</v>
      </c>
      <c r="X99" s="149">
        <v>3246</v>
      </c>
      <c r="Y99" s="149">
        <f t="shared" ref="Y99:Y130" si="38">VLOOKUP(V99,gdppc,55,FALSE)</f>
        <v>0</v>
      </c>
      <c r="Z99" s="150" t="e">
        <f t="shared" si="33"/>
        <v>#DIV/0!</v>
      </c>
      <c r="AA99" s="150" t="e">
        <f t="shared" si="34"/>
        <v>#DIV/0!</v>
      </c>
      <c r="AC99" s="29" t="s">
        <v>1063</v>
      </c>
      <c r="AD99" s="28">
        <v>137</v>
      </c>
      <c r="AE99" s="136">
        <v>43</v>
      </c>
      <c r="AF99" s="136">
        <v>216</v>
      </c>
      <c r="AG99" s="137">
        <f t="shared" ref="AG99:AG130" si="39">VLOOKUP(AC99,gdppc,61,FALSE)</f>
        <v>591.84638959999995</v>
      </c>
      <c r="AH99" s="138">
        <f t="shared" ref="AH99:AH130" si="40">AD99/AG99</f>
        <v>0.23147898239709058</v>
      </c>
      <c r="AI99" s="138">
        <f t="shared" si="35"/>
        <v>7.2653987175729157E-2</v>
      </c>
      <c r="AJ99" s="138">
        <f t="shared" si="36"/>
        <v>0.36495956348738368</v>
      </c>
    </row>
    <row r="100" spans="1:36">
      <c r="A100" s="151" t="s">
        <v>322</v>
      </c>
      <c r="B100" s="151">
        <v>999.99</v>
      </c>
      <c r="C100" s="151">
        <v>999.99</v>
      </c>
      <c r="D100" s="152">
        <f>Z18</f>
        <v>0.10797805119790538</v>
      </c>
      <c r="E100" s="152">
        <f>AA18</f>
        <v>0.50875051837814589</v>
      </c>
      <c r="F100" s="146">
        <f>MIN(B100:E100)</f>
        <v>0.10797805119790538</v>
      </c>
      <c r="G100" s="146">
        <f>MAX(B100:E100)</f>
        <v>999.99</v>
      </c>
      <c r="V100" s="141" t="s">
        <v>1062</v>
      </c>
      <c r="W100" s="149">
        <v>9</v>
      </c>
      <c r="X100" s="149">
        <v>235</v>
      </c>
      <c r="Y100" s="149">
        <f t="shared" si="38"/>
        <v>541.06594370085702</v>
      </c>
      <c r="Z100" s="150">
        <f t="shared" si="33"/>
        <v>1.6633831984398363E-2</v>
      </c>
      <c r="AA100" s="150">
        <f t="shared" si="34"/>
        <v>0.43432783514817952</v>
      </c>
      <c r="AC100" s="29" t="s">
        <v>214</v>
      </c>
      <c r="AD100" s="28">
        <v>4344</v>
      </c>
      <c r="AE100" s="136">
        <v>3169</v>
      </c>
      <c r="AF100" s="136">
        <v>7645</v>
      </c>
      <c r="AG100" s="137">
        <f t="shared" si="39"/>
        <v>11432.823</v>
      </c>
      <c r="AH100" s="138">
        <f t="shared" si="40"/>
        <v>0.37995865063248158</v>
      </c>
      <c r="AI100" s="138">
        <f t="shared" si="35"/>
        <v>0.2771843839443679</v>
      </c>
      <c r="AJ100" s="138">
        <f t="shared" si="36"/>
        <v>0.6686887394303227</v>
      </c>
    </row>
    <row r="101" spans="1:36">
      <c r="V101" s="141" t="s">
        <v>1063</v>
      </c>
      <c r="W101" s="149">
        <v>3</v>
      </c>
      <c r="X101" s="149">
        <v>116</v>
      </c>
      <c r="Y101" s="149">
        <f t="shared" si="38"/>
        <v>348.42987367926099</v>
      </c>
      <c r="Z101" s="150">
        <f t="shared" si="33"/>
        <v>8.6100539208115671E-3</v>
      </c>
      <c r="AA101" s="150">
        <f t="shared" si="34"/>
        <v>0.33292208493804726</v>
      </c>
      <c r="AC101" s="29" t="s">
        <v>1124</v>
      </c>
      <c r="AD101" s="28">
        <v>8568</v>
      </c>
      <c r="AE101" s="136">
        <v>6250</v>
      </c>
      <c r="AF101" s="136">
        <v>15079</v>
      </c>
      <c r="AG101" s="137">
        <f t="shared" si="39"/>
        <v>10561.613509999999</v>
      </c>
      <c r="AH101" s="138">
        <f t="shared" si="40"/>
        <v>0.81123968339568608</v>
      </c>
      <c r="AI101" s="138">
        <f t="shared" si="35"/>
        <v>0.59176564206618087</v>
      </c>
      <c r="AJ101" s="138">
        <f t="shared" si="36"/>
        <v>1.4277174586745507</v>
      </c>
    </row>
    <row r="102" spans="1:36">
      <c r="V102" s="141" t="s">
        <v>214</v>
      </c>
      <c r="W102" s="149">
        <v>3481</v>
      </c>
      <c r="X102" s="149">
        <v>6192</v>
      </c>
      <c r="Y102" s="149">
        <f t="shared" si="38"/>
        <v>10970.104299603299</v>
      </c>
      <c r="Z102" s="150">
        <f t="shared" si="33"/>
        <v>0.31731694657870113</v>
      </c>
      <c r="AA102" s="150">
        <f t="shared" si="34"/>
        <v>0.56444312933505247</v>
      </c>
      <c r="AC102" s="29" t="s">
        <v>1066</v>
      </c>
      <c r="AD102" s="28">
        <v>138</v>
      </c>
      <c r="AE102" s="136">
        <v>43</v>
      </c>
      <c r="AF102" s="136">
        <v>216</v>
      </c>
      <c r="AG102" s="137">
        <f t="shared" si="39"/>
        <v>879.0431873</v>
      </c>
      <c r="AH102" s="138">
        <f t="shared" si="40"/>
        <v>0.1569888738047899</v>
      </c>
      <c r="AI102" s="138">
        <f t="shared" si="35"/>
        <v>4.8916822997144685E-2</v>
      </c>
      <c r="AJ102" s="138">
        <f t="shared" si="36"/>
        <v>0.24572171552054073</v>
      </c>
    </row>
    <row r="103" spans="1:36">
      <c r="V103" s="141" t="s">
        <v>1124</v>
      </c>
      <c r="W103" s="149">
        <v>1103</v>
      </c>
      <c r="X103" s="149">
        <v>4318</v>
      </c>
      <c r="Y103" s="149">
        <f t="shared" si="38"/>
        <v>7928.4764426506099</v>
      </c>
      <c r="Z103" s="150">
        <f t="shared" si="33"/>
        <v>0.1391187837888373</v>
      </c>
      <c r="AA103" s="150">
        <f t="shared" si="34"/>
        <v>0.54461913726219346</v>
      </c>
      <c r="AC103" s="29" t="s">
        <v>1125</v>
      </c>
      <c r="AD103" s="28">
        <v>22764</v>
      </c>
      <c r="AE103" s="136">
        <v>19375</v>
      </c>
      <c r="AF103" s="136">
        <v>28510</v>
      </c>
      <c r="AG103" s="137">
        <f t="shared" si="39"/>
        <v>30186.195960000001</v>
      </c>
      <c r="AH103" s="138">
        <f t="shared" si="40"/>
        <v>0.75411953298669299</v>
      </c>
      <c r="AI103" s="138">
        <f t="shared" si="35"/>
        <v>0.64184967279991112</v>
      </c>
      <c r="AJ103" s="138">
        <f t="shared" si="36"/>
        <v>0.94447144111099179</v>
      </c>
    </row>
    <row r="104" spans="1:36">
      <c r="V104" s="141" t="s">
        <v>1066</v>
      </c>
      <c r="W104" s="149">
        <v>17</v>
      </c>
      <c r="X104" s="149">
        <v>368</v>
      </c>
      <c r="Y104" s="149">
        <f t="shared" si="38"/>
        <v>805.03397960821997</v>
      </c>
      <c r="Z104" s="150">
        <f t="shared" si="33"/>
        <v>2.1117121054037079E-2</v>
      </c>
      <c r="AA104" s="150">
        <f t="shared" si="34"/>
        <v>0.45712356164033213</v>
      </c>
      <c r="AC104" s="29" t="s">
        <v>1068</v>
      </c>
      <c r="AD104" s="28">
        <v>388</v>
      </c>
      <c r="AE104" s="136">
        <v>198</v>
      </c>
      <c r="AF104" s="136">
        <v>492</v>
      </c>
      <c r="AG104" s="137">
        <f t="shared" si="39"/>
        <v>1743.302901</v>
      </c>
      <c r="AH104" s="138">
        <f t="shared" si="40"/>
        <v>0.22256602669417574</v>
      </c>
      <c r="AI104" s="138">
        <f t="shared" si="35"/>
        <v>0.11357750846764637</v>
      </c>
      <c r="AJ104" s="138">
        <f t="shared" si="36"/>
        <v>0.28222289982869708</v>
      </c>
    </row>
    <row r="105" spans="1:36">
      <c r="V105" s="141" t="s">
        <v>1125</v>
      </c>
      <c r="W105" s="149">
        <v>10138</v>
      </c>
      <c r="X105" s="149">
        <v>12838</v>
      </c>
      <c r="Y105" s="149">
        <f t="shared" si="38"/>
        <v>24771.0765781929</v>
      </c>
      <c r="Z105" s="150">
        <f t="shared" si="33"/>
        <v>0.40926763792434195</v>
      </c>
      <c r="AA105" s="150">
        <f t="shared" si="34"/>
        <v>0.51826572654100433</v>
      </c>
      <c r="AC105" s="29" t="s">
        <v>1069</v>
      </c>
      <c r="AD105" s="28">
        <v>5534</v>
      </c>
      <c r="AE105" s="136">
        <v>4710</v>
      </c>
      <c r="AF105" s="136">
        <v>6931</v>
      </c>
      <c r="AG105" s="137">
        <f t="shared" si="39"/>
        <v>11097.16898</v>
      </c>
      <c r="AH105" s="138">
        <f t="shared" si="40"/>
        <v>0.49868574678584371</v>
      </c>
      <c r="AI105" s="138">
        <f t="shared" si="35"/>
        <v>0.42443257451415323</v>
      </c>
      <c r="AJ105" s="138">
        <f t="shared" si="36"/>
        <v>0.62457370996976558</v>
      </c>
    </row>
    <row r="106" spans="1:36">
      <c r="V106" s="141" t="s">
        <v>1126</v>
      </c>
      <c r="W106" s="149">
        <v>182</v>
      </c>
      <c r="X106" s="149">
        <v>1774</v>
      </c>
      <c r="Y106" s="149">
        <f t="shared" si="38"/>
        <v>3246.6302495916302</v>
      </c>
      <c r="Z106" s="150">
        <f t="shared" si="33"/>
        <v>5.6058123656949371E-2</v>
      </c>
      <c r="AA106" s="150">
        <f t="shared" si="34"/>
        <v>0.54641269982103391</v>
      </c>
      <c r="AC106" s="29" t="s">
        <v>537</v>
      </c>
      <c r="AD106" s="28">
        <v>5214</v>
      </c>
      <c r="AE106" s="136">
        <v>3803</v>
      </c>
      <c r="AF106" s="136">
        <v>9176</v>
      </c>
      <c r="AG106" s="137">
        <f t="shared" si="39"/>
        <v>9950.4500800000005</v>
      </c>
      <c r="AH106" s="138">
        <f t="shared" si="40"/>
        <v>0.52399639795992015</v>
      </c>
      <c r="AI106" s="138">
        <f t="shared" si="35"/>
        <v>0.38219376705822333</v>
      </c>
      <c r="AJ106" s="138">
        <f t="shared" si="36"/>
        <v>0.92216934171082232</v>
      </c>
    </row>
    <row r="107" spans="1:36">
      <c r="V107" s="141" t="s">
        <v>1068</v>
      </c>
      <c r="W107" s="149">
        <v>46</v>
      </c>
      <c r="X107" s="149">
        <v>550</v>
      </c>
      <c r="Y107" s="149">
        <f t="shared" si="38"/>
        <v>1892.09400026444</v>
      </c>
      <c r="Z107" s="150">
        <f t="shared" si="33"/>
        <v>2.4311688527933084E-2</v>
      </c>
      <c r="AA107" s="150">
        <f t="shared" si="34"/>
        <v>0.29068323239919991</v>
      </c>
      <c r="AC107" s="29" t="s">
        <v>1127</v>
      </c>
      <c r="AD107" s="28">
        <v>3249</v>
      </c>
      <c r="AE107" s="136">
        <v>1659</v>
      </c>
      <c r="AF107" s="136">
        <v>4120</v>
      </c>
      <c r="AG107" s="137">
        <f t="shared" si="39"/>
        <v>3585.3924489999999</v>
      </c>
      <c r="AH107" s="138">
        <f t="shared" si="40"/>
        <v>0.90617695167684553</v>
      </c>
      <c r="AI107" s="138">
        <f t="shared" si="35"/>
        <v>0.46271085344163954</v>
      </c>
      <c r="AJ107" s="138">
        <f t="shared" si="36"/>
        <v>1.1491071224711</v>
      </c>
    </row>
    <row r="108" spans="1:36">
      <c r="V108" s="141" t="s">
        <v>1069</v>
      </c>
      <c r="W108" s="149">
        <v>2248</v>
      </c>
      <c r="X108" s="149">
        <v>5945</v>
      </c>
      <c r="Y108" s="149">
        <f t="shared" si="38"/>
        <v>9637.0026500095792</v>
      </c>
      <c r="Z108" s="150">
        <f t="shared" si="33"/>
        <v>0.23326755025825022</v>
      </c>
      <c r="AA108" s="150">
        <f t="shared" si="34"/>
        <v>0.6168930543973743</v>
      </c>
      <c r="AC108" s="29" t="s">
        <v>1070</v>
      </c>
      <c r="AD108" s="28">
        <v>2164</v>
      </c>
      <c r="AE108" s="136">
        <v>1105</v>
      </c>
      <c r="AF108" s="136">
        <v>2745</v>
      </c>
      <c r="AG108" s="137">
        <f t="shared" si="39"/>
        <v>4491.6888269999999</v>
      </c>
      <c r="AH108" s="138">
        <f t="shared" si="40"/>
        <v>0.48177869913694271</v>
      </c>
      <c r="AI108" s="138">
        <f t="shared" si="35"/>
        <v>0.24600991799737601</v>
      </c>
      <c r="AJ108" s="138">
        <f t="shared" si="36"/>
        <v>0.6111287103192734</v>
      </c>
    </row>
    <row r="109" spans="1:36">
      <c r="V109" s="141" t="s">
        <v>537</v>
      </c>
      <c r="W109" s="149">
        <v>2410</v>
      </c>
      <c r="X109" s="149">
        <v>6749</v>
      </c>
      <c r="Y109" s="149">
        <f t="shared" si="38"/>
        <v>10725.183587379601</v>
      </c>
      <c r="Z109" s="150">
        <f t="shared" si="33"/>
        <v>0.22470477827865473</v>
      </c>
      <c r="AA109" s="150">
        <f t="shared" si="34"/>
        <v>0.6292666176774443</v>
      </c>
      <c r="AC109" s="29" t="s">
        <v>307</v>
      </c>
      <c r="AD109" s="28">
        <v>1258</v>
      </c>
      <c r="AE109" s="136">
        <v>642</v>
      </c>
      <c r="AF109" s="136">
        <v>1595</v>
      </c>
      <c r="AG109" s="137">
        <f t="shared" si="39"/>
        <v>4404.8458300000002</v>
      </c>
      <c r="AH109" s="138">
        <f t="shared" si="40"/>
        <v>0.28559455848197074</v>
      </c>
      <c r="AI109" s="138">
        <f t="shared" si="35"/>
        <v>0.1457485743604334</v>
      </c>
      <c r="AJ109" s="138">
        <f t="shared" si="36"/>
        <v>0.36210120888612346</v>
      </c>
    </row>
    <row r="110" spans="1:36">
      <c r="V110" s="141" t="s">
        <v>1127</v>
      </c>
      <c r="W110" s="149">
        <v>162</v>
      </c>
      <c r="X110" s="149">
        <v>1646</v>
      </c>
      <c r="Y110" s="149">
        <f t="shared" si="38"/>
        <v>2994.7923944034301</v>
      </c>
      <c r="Z110" s="150">
        <f t="shared" si="33"/>
        <v>5.4093899898617445E-2</v>
      </c>
      <c r="AA110" s="150">
        <f t="shared" si="34"/>
        <v>0.54962073600694017</v>
      </c>
      <c r="AC110" s="29" t="s">
        <v>1128</v>
      </c>
      <c r="AD110" s="28">
        <v>7270</v>
      </c>
      <c r="AE110" s="136">
        <v>5303</v>
      </c>
      <c r="AF110" s="136">
        <v>12796</v>
      </c>
      <c r="AG110" s="137">
        <f t="shared" si="39"/>
        <v>8910.650834</v>
      </c>
      <c r="AH110" s="138">
        <f t="shared" si="40"/>
        <v>0.81587755321532329</v>
      </c>
      <c r="AI110" s="138">
        <f t="shared" si="35"/>
        <v>0.59513049033024201</v>
      </c>
      <c r="AJ110" s="138">
        <f t="shared" si="36"/>
        <v>1.436034273857397</v>
      </c>
    </row>
    <row r="111" spans="1:36">
      <c r="V111" s="141" t="s">
        <v>1070</v>
      </c>
      <c r="W111" s="149">
        <v>148</v>
      </c>
      <c r="X111" s="149">
        <v>1151</v>
      </c>
      <c r="Y111" s="149">
        <f t="shared" si="38"/>
        <v>3322.0384362615</v>
      </c>
      <c r="Z111" s="150">
        <f t="shared" si="33"/>
        <v>4.455095955077322E-2</v>
      </c>
      <c r="AA111" s="150">
        <f t="shared" si="34"/>
        <v>0.34647401650635118</v>
      </c>
      <c r="AC111" s="29" t="s">
        <v>1072</v>
      </c>
      <c r="AD111" s="28">
        <v>1528</v>
      </c>
      <c r="AE111" s="136">
        <v>780</v>
      </c>
      <c r="AF111" s="136">
        <v>1938</v>
      </c>
      <c r="AG111" s="137">
        <f t="shared" si="39"/>
        <v>3230.4097219999999</v>
      </c>
      <c r="AH111" s="138">
        <f t="shared" si="40"/>
        <v>0.47300501530622874</v>
      </c>
      <c r="AI111" s="138">
        <f t="shared" si="35"/>
        <v>0.24145543975056177</v>
      </c>
      <c r="AJ111" s="138">
        <f t="shared" si="36"/>
        <v>0.59992390030331888</v>
      </c>
    </row>
    <row r="112" spans="1:36">
      <c r="V112" s="141" t="s">
        <v>307</v>
      </c>
      <c r="W112" s="149">
        <v>543</v>
      </c>
      <c r="X112" s="149">
        <v>2085</v>
      </c>
      <c r="Y112" s="149">
        <f t="shared" si="38"/>
        <v>4366.0895369957198</v>
      </c>
      <c r="Z112" s="150">
        <f t="shared" si="33"/>
        <v>0.12436758234088692</v>
      </c>
      <c r="AA112" s="150">
        <f t="shared" si="34"/>
        <v>0.47754403164042214</v>
      </c>
      <c r="AC112" s="29" t="s">
        <v>1074</v>
      </c>
      <c r="AD112" s="28">
        <v>181</v>
      </c>
      <c r="AE112" s="136">
        <v>57</v>
      </c>
      <c r="AF112" s="136">
        <v>285</v>
      </c>
      <c r="AG112" s="137">
        <f t="shared" si="39"/>
        <v>506.64163910000002</v>
      </c>
      <c r="AH112" s="138">
        <f t="shared" si="40"/>
        <v>0.35725448923134118</v>
      </c>
      <c r="AI112" s="138">
        <f t="shared" si="35"/>
        <v>0.11250555738224556</v>
      </c>
      <c r="AJ112" s="138">
        <f t="shared" si="36"/>
        <v>0.56252778691122785</v>
      </c>
    </row>
    <row r="113" spans="22:36">
      <c r="V113" s="141" t="s">
        <v>1128</v>
      </c>
      <c r="W113" s="149">
        <v>1464</v>
      </c>
      <c r="X113" s="149">
        <v>4921</v>
      </c>
      <c r="Y113" s="149">
        <f t="shared" si="38"/>
        <v>7186.4297868215399</v>
      </c>
      <c r="Z113" s="150">
        <f t="shared" si="33"/>
        <v>0.20371728986828483</v>
      </c>
      <c r="AA113" s="150">
        <f t="shared" si="34"/>
        <v>0.68476283021982898</v>
      </c>
      <c r="AC113" s="29" t="s">
        <v>1190</v>
      </c>
      <c r="AD113" s="28">
        <v>423</v>
      </c>
      <c r="AE113" s="136">
        <v>216</v>
      </c>
      <c r="AF113" s="136">
        <v>536</v>
      </c>
      <c r="AG113" s="137">
        <f t="shared" si="39"/>
        <v>1271.1115749999999</v>
      </c>
      <c r="AH113" s="138">
        <f t="shared" si="40"/>
        <v>0.3327795988326202</v>
      </c>
      <c r="AI113" s="138">
        <f t="shared" si="35"/>
        <v>0.16993000791452947</v>
      </c>
      <c r="AJ113" s="138">
        <f t="shared" si="36"/>
        <v>0.42167816778790645</v>
      </c>
    </row>
    <row r="114" spans="22:36">
      <c r="V114" s="141" t="s">
        <v>1072</v>
      </c>
      <c r="W114" s="149">
        <v>316</v>
      </c>
      <c r="X114" s="149">
        <v>1590</v>
      </c>
      <c r="Y114" s="149">
        <f t="shared" si="38"/>
        <v>3121.6800808364301</v>
      </c>
      <c r="Z114" s="150">
        <f t="shared" si="33"/>
        <v>0.10122754152159315</v>
      </c>
      <c r="AA114" s="150">
        <f t="shared" si="34"/>
        <v>0.50934111082067446</v>
      </c>
      <c r="AC114" s="29" t="s">
        <v>1076</v>
      </c>
      <c r="AD114" s="28">
        <v>3486</v>
      </c>
      <c r="AE114" s="136">
        <v>2543</v>
      </c>
      <c r="AF114" s="136">
        <v>6135</v>
      </c>
      <c r="AG114" s="137">
        <f t="shared" si="39"/>
        <v>5009.6859039999999</v>
      </c>
      <c r="AH114" s="138">
        <f t="shared" si="40"/>
        <v>0.69585200884881671</v>
      </c>
      <c r="AI114" s="138">
        <f t="shared" si="35"/>
        <v>0.50761665476263362</v>
      </c>
      <c r="AJ114" s="138">
        <f t="shared" si="36"/>
        <v>1.224627674781265</v>
      </c>
    </row>
    <row r="115" spans="22:36">
      <c r="V115" s="141" t="s">
        <v>1074</v>
      </c>
      <c r="W115" s="149">
        <v>8</v>
      </c>
      <c r="X115" s="149">
        <v>294</v>
      </c>
      <c r="Y115" s="149">
        <f t="shared" si="38"/>
        <v>664.077510357336</v>
      </c>
      <c r="Z115" s="150">
        <f t="shared" si="33"/>
        <v>1.2046786519988081E-2</v>
      </c>
      <c r="AA115" s="150">
        <f t="shared" si="34"/>
        <v>0.44271940460956194</v>
      </c>
      <c r="AC115" s="29" t="s">
        <v>1077</v>
      </c>
      <c r="AD115" s="28">
        <v>413</v>
      </c>
      <c r="AE115" s="136">
        <v>211</v>
      </c>
      <c r="AF115" s="136">
        <v>524</v>
      </c>
      <c r="AG115" s="137">
        <f t="shared" si="39"/>
        <v>1194.956876</v>
      </c>
      <c r="AH115" s="138">
        <f t="shared" si="40"/>
        <v>0.34561916692966921</v>
      </c>
      <c r="AI115" s="138">
        <f t="shared" si="35"/>
        <v>0.17657540973888669</v>
      </c>
      <c r="AJ115" s="138">
        <f t="shared" si="36"/>
        <v>0.4385095483562873</v>
      </c>
    </row>
    <row r="116" spans="22:36">
      <c r="V116" s="141" t="s">
        <v>1076</v>
      </c>
      <c r="W116" s="149">
        <v>791</v>
      </c>
      <c r="X116" s="149">
        <v>2958</v>
      </c>
      <c r="Y116" s="149">
        <f t="shared" si="38"/>
        <v>5392.0949382563404</v>
      </c>
      <c r="Z116" s="150">
        <f t="shared" si="33"/>
        <v>0.14669623014015185</v>
      </c>
      <c r="AA116" s="150">
        <f t="shared" si="34"/>
        <v>0.54858084545457542</v>
      </c>
      <c r="AC116" s="29" t="s">
        <v>1129</v>
      </c>
      <c r="AD116" s="28">
        <v>47122</v>
      </c>
      <c r="AE116" s="136">
        <v>40107</v>
      </c>
      <c r="AF116" s="136">
        <v>59018</v>
      </c>
      <c r="AG116" s="137">
        <f t="shared" si="39"/>
        <v>52476.273249999998</v>
      </c>
      <c r="AH116" s="138">
        <f t="shared" si="40"/>
        <v>0.89796773058765189</v>
      </c>
      <c r="AI116" s="138">
        <f t="shared" si="35"/>
        <v>0.76428826812696726</v>
      </c>
      <c r="AJ116" s="138">
        <f t="shared" si="36"/>
        <v>1.1246606579479232</v>
      </c>
    </row>
    <row r="117" spans="22:36">
      <c r="V117" s="141" t="s">
        <v>1077</v>
      </c>
      <c r="W117" s="149">
        <v>22</v>
      </c>
      <c r="X117" s="149">
        <v>357</v>
      </c>
      <c r="Y117" s="149">
        <f t="shared" si="38"/>
        <v>823.359874609489</v>
      </c>
      <c r="Z117" s="150">
        <f t="shared" si="33"/>
        <v>2.6719786424416626E-2</v>
      </c>
      <c r="AA117" s="150">
        <f t="shared" si="34"/>
        <v>0.43358926152348798</v>
      </c>
      <c r="AC117" s="29" t="s">
        <v>1130</v>
      </c>
      <c r="AD117" s="28">
        <v>37456</v>
      </c>
      <c r="AE117" s="136">
        <v>31880</v>
      </c>
      <c r="AF117" s="136">
        <v>46912</v>
      </c>
      <c r="AG117" s="137">
        <f t="shared" si="39"/>
        <v>42755.216260000001</v>
      </c>
      <c r="AH117" s="138">
        <f t="shared" si="40"/>
        <v>0.87605684818023655</v>
      </c>
      <c r="AI117" s="138">
        <f t="shared" si="35"/>
        <v>0.74564001281466097</v>
      </c>
      <c r="AJ117" s="138">
        <f t="shared" si="36"/>
        <v>1.0972228444529917</v>
      </c>
    </row>
    <row r="118" spans="22:36">
      <c r="V118" s="141" t="s">
        <v>1129</v>
      </c>
      <c r="W118" s="149">
        <v>23153</v>
      </c>
      <c r="X118" s="149">
        <v>29354</v>
      </c>
      <c r="Y118" s="149">
        <f t="shared" si="38"/>
        <v>52184.061850493097</v>
      </c>
      <c r="Z118" s="150">
        <f t="shared" si="33"/>
        <v>0.44367952932320892</v>
      </c>
      <c r="AA118" s="150">
        <f t="shared" si="34"/>
        <v>0.56250891477361353</v>
      </c>
      <c r="AC118" s="29" t="s">
        <v>1078</v>
      </c>
      <c r="AD118" s="28">
        <v>1295</v>
      </c>
      <c r="AE118" s="136">
        <v>661</v>
      </c>
      <c r="AF118" s="136">
        <v>1642</v>
      </c>
      <c r="AG118" s="137">
        <f t="shared" si="39"/>
        <v>1926.6996939999999</v>
      </c>
      <c r="AH118" s="138">
        <f t="shared" si="40"/>
        <v>0.67213380685781121</v>
      </c>
      <c r="AI118" s="138">
        <f t="shared" si="35"/>
        <v>0.34307370373205653</v>
      </c>
      <c r="AJ118" s="138">
        <f t="shared" si="36"/>
        <v>0.85223452576102399</v>
      </c>
    </row>
    <row r="119" spans="22:36">
      <c r="V119" s="141" t="s">
        <v>1130</v>
      </c>
      <c r="W119" s="149">
        <v>20555</v>
      </c>
      <c r="X119" s="149">
        <v>21619</v>
      </c>
      <c r="Y119" s="149">
        <f t="shared" si="38"/>
        <v>42976.649588258399</v>
      </c>
      <c r="Z119" s="150">
        <f t="shared" si="33"/>
        <v>0.47828297917424928</v>
      </c>
      <c r="AA119" s="150">
        <f t="shared" si="34"/>
        <v>0.50304060942681073</v>
      </c>
      <c r="AC119" s="29" t="s">
        <v>1079</v>
      </c>
      <c r="AD119" s="28">
        <v>137</v>
      </c>
      <c r="AE119" s="136">
        <v>43</v>
      </c>
      <c r="AF119" s="136">
        <v>216</v>
      </c>
      <c r="AG119" s="137">
        <f t="shared" si="39"/>
        <v>554.09938929999998</v>
      </c>
      <c r="AH119" s="138">
        <f t="shared" si="40"/>
        <v>0.2472480617115887</v>
      </c>
      <c r="AI119" s="138">
        <f t="shared" si="35"/>
        <v>7.7603406230644628E-2</v>
      </c>
      <c r="AJ119" s="138">
        <f t="shared" si="36"/>
        <v>0.38982176153067999</v>
      </c>
    </row>
    <row r="120" spans="22:36">
      <c r="V120" s="141" t="s">
        <v>1078</v>
      </c>
      <c r="W120" s="149">
        <v>118</v>
      </c>
      <c r="X120" s="149">
        <v>937</v>
      </c>
      <c r="Y120" s="149">
        <f t="shared" si="38"/>
        <v>1811.6368027036301</v>
      </c>
      <c r="Z120" s="150">
        <f t="shared" si="33"/>
        <v>6.5134468356957909E-2</v>
      </c>
      <c r="AA120" s="150">
        <f t="shared" si="34"/>
        <v>0.51721183771584378</v>
      </c>
      <c r="AC120" s="29" t="s">
        <v>1080</v>
      </c>
      <c r="AD120" s="28">
        <v>374</v>
      </c>
      <c r="AE120" s="136">
        <v>191</v>
      </c>
      <c r="AF120" s="136">
        <v>474</v>
      </c>
      <c r="AG120" s="137">
        <f t="shared" si="39"/>
        <v>2229.8586519999999</v>
      </c>
      <c r="AH120" s="138">
        <f t="shared" si="40"/>
        <v>0.16772363560558098</v>
      </c>
      <c r="AI120" s="138">
        <f t="shared" si="35"/>
        <v>8.565565347771649E-2</v>
      </c>
      <c r="AJ120" s="138">
        <f t="shared" si="36"/>
        <v>0.21256952747873098</v>
      </c>
    </row>
    <row r="121" spans="22:36">
      <c r="V121" s="141" t="s">
        <v>1079</v>
      </c>
      <c r="W121" s="149">
        <v>5</v>
      </c>
      <c r="X121" s="149">
        <v>213</v>
      </c>
      <c r="Y121" s="149">
        <f t="shared" si="38"/>
        <v>552.569138963417</v>
      </c>
      <c r="Z121" s="150">
        <f t="shared" si="33"/>
        <v>9.0486414231885411E-3</v>
      </c>
      <c r="AA121" s="150">
        <f t="shared" si="34"/>
        <v>0.38547212462783181</v>
      </c>
      <c r="AC121" s="29" t="s">
        <v>1189</v>
      </c>
      <c r="AD121" s="28">
        <v>4366</v>
      </c>
      <c r="AE121" s="136">
        <v>3184</v>
      </c>
      <c r="AF121" s="136">
        <v>7683</v>
      </c>
      <c r="AG121" s="137">
        <f t="shared" si="39"/>
        <v>6070.388054</v>
      </c>
      <c r="AH121" s="138">
        <f t="shared" si="40"/>
        <v>0.7192291433696868</v>
      </c>
      <c r="AI121" s="138">
        <f t="shared" si="35"/>
        <v>0.52451342017615266</v>
      </c>
      <c r="AJ121" s="138">
        <f t="shared" si="36"/>
        <v>1.2656522007579716</v>
      </c>
    </row>
    <row r="122" spans="22:36">
      <c r="V122" s="141" t="s">
        <v>1080</v>
      </c>
      <c r="W122" s="149">
        <v>239</v>
      </c>
      <c r="X122" s="149">
        <v>1545</v>
      </c>
      <c r="Y122" s="149">
        <f t="shared" si="38"/>
        <v>2961.5494217594701</v>
      </c>
      <c r="Z122" s="150">
        <f t="shared" si="33"/>
        <v>8.0701000038692253E-2</v>
      </c>
      <c r="AA122" s="150">
        <f t="shared" si="34"/>
        <v>0.52168638100326159</v>
      </c>
      <c r="AC122" s="29" t="s">
        <v>1131</v>
      </c>
      <c r="AD122" s="28">
        <v>72267</v>
      </c>
      <c r="AE122" s="136">
        <v>61508</v>
      </c>
      <c r="AF122" s="136">
        <v>90511</v>
      </c>
      <c r="AG122" s="137">
        <f t="shared" si="39"/>
        <v>75826.081879999998</v>
      </c>
      <c r="AH122" s="138">
        <f t="shared" si="40"/>
        <v>0.95306256380710153</v>
      </c>
      <c r="AI122" s="138">
        <f t="shared" si="35"/>
        <v>0.81117207265622204</v>
      </c>
      <c r="AJ122" s="138">
        <f t="shared" si="36"/>
        <v>1.1936657909245514</v>
      </c>
    </row>
    <row r="123" spans="22:36">
      <c r="V123" s="141" t="s">
        <v>1131</v>
      </c>
      <c r="W123" s="149">
        <v>43211</v>
      </c>
      <c r="X123" s="149">
        <v>93736</v>
      </c>
      <c r="Y123" s="149">
        <f t="shared" si="38"/>
        <v>102913.450843674</v>
      </c>
      <c r="Z123" s="150">
        <f t="shared" si="33"/>
        <v>0.4198770874532009</v>
      </c>
      <c r="AA123" s="150">
        <f t="shared" si="34"/>
        <v>0.91082360208079516</v>
      </c>
      <c r="AC123" s="29" t="s">
        <v>1132</v>
      </c>
      <c r="AD123" s="28">
        <v>5480</v>
      </c>
      <c r="AE123" s="136">
        <v>4665</v>
      </c>
      <c r="AF123" s="136">
        <v>6864</v>
      </c>
      <c r="AG123" s="137">
        <f t="shared" si="39"/>
        <v>15343.0435</v>
      </c>
      <c r="AH123" s="138">
        <f t="shared" si="40"/>
        <v>0.35716512177000609</v>
      </c>
      <c r="AI123" s="138">
        <f t="shared" si="35"/>
        <v>0.30404658632428438</v>
      </c>
      <c r="AJ123" s="138">
        <f t="shared" si="36"/>
        <v>0.44736886785206598</v>
      </c>
    </row>
    <row r="124" spans="22:36">
      <c r="V124" s="141" t="s">
        <v>1132</v>
      </c>
      <c r="W124" s="149">
        <v>999999</v>
      </c>
      <c r="X124" s="149">
        <v>999999</v>
      </c>
      <c r="Y124" s="149">
        <f t="shared" si="38"/>
        <v>20865.7878719523</v>
      </c>
      <c r="Z124" s="150">
        <f t="shared" si="33"/>
        <v>47.925293122729109</v>
      </c>
      <c r="AA124" s="150">
        <f t="shared" si="34"/>
        <v>47.925293122729109</v>
      </c>
      <c r="AC124" s="29" t="s">
        <v>1081</v>
      </c>
      <c r="AD124" s="28">
        <v>299</v>
      </c>
      <c r="AE124" s="136">
        <v>153</v>
      </c>
      <c r="AF124" s="136">
        <v>379</v>
      </c>
      <c r="AG124" s="137">
        <f t="shared" si="39"/>
        <v>1288.556325</v>
      </c>
      <c r="AH124" s="138">
        <f t="shared" si="40"/>
        <v>0.23204263112052939</v>
      </c>
      <c r="AI124" s="138">
        <f t="shared" si="35"/>
        <v>0.11873753365030434</v>
      </c>
      <c r="AJ124" s="138">
        <f t="shared" si="36"/>
        <v>0.29412761603572124</v>
      </c>
    </row>
    <row r="125" spans="22:36">
      <c r="V125" s="141" t="s">
        <v>1081</v>
      </c>
      <c r="W125" s="149">
        <v>87</v>
      </c>
      <c r="X125" s="149">
        <v>669</v>
      </c>
      <c r="Y125" s="149">
        <f t="shared" si="38"/>
        <v>1208.9177102045801</v>
      </c>
      <c r="Z125" s="150">
        <f t="shared" si="33"/>
        <v>7.1965196030817802E-2</v>
      </c>
      <c r="AA125" s="150">
        <f t="shared" si="34"/>
        <v>0.55338754189215078</v>
      </c>
      <c r="AC125" s="29" t="s">
        <v>1082</v>
      </c>
      <c r="AD125" s="28">
        <v>10018</v>
      </c>
      <c r="AE125" s="136">
        <v>8527</v>
      </c>
      <c r="AF125" s="136">
        <v>12547</v>
      </c>
      <c r="AG125" s="137">
        <f t="shared" si="39"/>
        <v>15774.254940000001</v>
      </c>
      <c r="AH125" s="138">
        <f t="shared" si="40"/>
        <v>0.6350854628700453</v>
      </c>
      <c r="AI125" s="138">
        <f t="shared" si="35"/>
        <v>0.54056435834426797</v>
      </c>
      <c r="AJ125" s="138">
        <f t="shared" si="36"/>
        <v>0.79540999227694742</v>
      </c>
    </row>
    <row r="126" spans="22:36">
      <c r="V126" s="141" t="s">
        <v>1133</v>
      </c>
      <c r="W126" s="149">
        <v>2531</v>
      </c>
      <c r="X126" s="149">
        <v>7940</v>
      </c>
      <c r="Y126" s="149">
        <f t="shared" si="38"/>
        <v>12561.3361358859</v>
      </c>
      <c r="Z126" s="150">
        <f t="shared" si="33"/>
        <v>0.2014913041590618</v>
      </c>
      <c r="AA126" s="150">
        <f t="shared" si="34"/>
        <v>0.63209836231645622</v>
      </c>
      <c r="AC126" s="29" t="s">
        <v>1134</v>
      </c>
      <c r="AD126" s="28">
        <v>451</v>
      </c>
      <c r="AE126" s="136">
        <v>230</v>
      </c>
      <c r="AF126" s="136">
        <v>572</v>
      </c>
      <c r="AG126" s="137">
        <f t="shared" si="39"/>
        <v>2820.3063969999998</v>
      </c>
      <c r="AH126" s="138">
        <f t="shared" si="40"/>
        <v>0.15991170338078697</v>
      </c>
      <c r="AI126" s="138">
        <f t="shared" si="35"/>
        <v>8.1551423010157442E-2</v>
      </c>
      <c r="AJ126" s="138">
        <f t="shared" si="36"/>
        <v>0.20281484331221764</v>
      </c>
    </row>
    <row r="127" spans="22:36">
      <c r="V127" s="141" t="s">
        <v>1082</v>
      </c>
      <c r="W127" s="149">
        <v>3042</v>
      </c>
      <c r="X127" s="149">
        <v>6869</v>
      </c>
      <c r="Y127" s="149">
        <f t="shared" si="38"/>
        <v>11889.095066334499</v>
      </c>
      <c r="Z127" s="150">
        <f t="shared" si="33"/>
        <v>0.25586472166530266</v>
      </c>
      <c r="AA127" s="150">
        <f t="shared" si="34"/>
        <v>0.57775633567355822</v>
      </c>
      <c r="AC127" s="29" t="s">
        <v>482</v>
      </c>
      <c r="AD127" s="28">
        <v>3666</v>
      </c>
      <c r="AE127" s="136">
        <v>2674</v>
      </c>
      <c r="AF127" s="136">
        <v>6452</v>
      </c>
      <c r="AG127" s="137">
        <f t="shared" si="39"/>
        <v>5380.9633219999996</v>
      </c>
      <c r="AH127" s="138">
        <f t="shared" si="40"/>
        <v>0.68129065013537737</v>
      </c>
      <c r="AI127" s="138">
        <f t="shared" si="35"/>
        <v>0.49693704267921418</v>
      </c>
      <c r="AJ127" s="138">
        <f t="shared" si="36"/>
        <v>1.1990418097854487</v>
      </c>
    </row>
    <row r="128" spans="22:36">
      <c r="V128" s="141" t="s">
        <v>1134</v>
      </c>
      <c r="W128" s="149">
        <v>75</v>
      </c>
      <c r="X128" s="149">
        <v>1073</v>
      </c>
      <c r="Y128" s="149">
        <f t="shared" si="38"/>
        <v>2729.8887512111</v>
      </c>
      <c r="Z128" s="150">
        <f t="shared" si="33"/>
        <v>2.7473647036615197E-2</v>
      </c>
      <c r="AA128" s="150">
        <f t="shared" si="34"/>
        <v>0.39305631027050808</v>
      </c>
      <c r="AC128" s="29" t="s">
        <v>404</v>
      </c>
      <c r="AD128" s="28">
        <v>3532</v>
      </c>
      <c r="AE128" s="136">
        <v>2576</v>
      </c>
      <c r="AF128" s="136">
        <v>6216</v>
      </c>
      <c r="AG128" s="137">
        <f t="shared" si="39"/>
        <v>7027.6122070000001</v>
      </c>
      <c r="AH128" s="138">
        <f t="shared" si="40"/>
        <v>0.50258891583145093</v>
      </c>
      <c r="AI128" s="138">
        <f t="shared" si="35"/>
        <v>0.366554090368578</v>
      </c>
      <c r="AJ128" s="138">
        <f t="shared" si="36"/>
        <v>0.88451095719374262</v>
      </c>
    </row>
    <row r="129" spans="22:36">
      <c r="V129" s="141" t="s">
        <v>482</v>
      </c>
      <c r="W129" s="149">
        <v>484</v>
      </c>
      <c r="X129" s="149">
        <v>2179</v>
      </c>
      <c r="Y129" s="149">
        <f t="shared" si="38"/>
        <v>5936.9759590224803</v>
      </c>
      <c r="Z129" s="150">
        <f t="shared" si="33"/>
        <v>8.1522984654243125E-2</v>
      </c>
      <c r="AA129" s="150">
        <f t="shared" si="34"/>
        <v>0.36702186686280114</v>
      </c>
      <c r="AC129" s="29" t="s">
        <v>285</v>
      </c>
      <c r="AD129" s="28">
        <v>1105</v>
      </c>
      <c r="AE129" s="136">
        <v>564</v>
      </c>
      <c r="AF129" s="136">
        <v>1401</v>
      </c>
      <c r="AG129" s="137">
        <f t="shared" si="39"/>
        <v>3485.3408439999998</v>
      </c>
      <c r="AH129" s="138">
        <f t="shared" si="40"/>
        <v>0.31704216300745824</v>
      </c>
      <c r="AI129" s="138">
        <f t="shared" si="35"/>
        <v>0.16182061532688366</v>
      </c>
      <c r="AJ129" s="138">
        <f t="shared" si="36"/>
        <v>0.40196929445560992</v>
      </c>
    </row>
    <row r="130" spans="22:36">
      <c r="V130" s="141" t="s">
        <v>404</v>
      </c>
      <c r="W130" s="149">
        <v>1114</v>
      </c>
      <c r="X130" s="149">
        <v>4383</v>
      </c>
      <c r="Y130" s="149">
        <f t="shared" si="38"/>
        <v>6756.75299620034</v>
      </c>
      <c r="Z130" s="150">
        <f t="shared" si="33"/>
        <v>0.16487209176159878</v>
      </c>
      <c r="AA130" s="150">
        <f t="shared" si="34"/>
        <v>0.64868436103329219</v>
      </c>
      <c r="AC130" s="29" t="s">
        <v>1135</v>
      </c>
      <c r="AD130" s="28">
        <v>8389</v>
      </c>
      <c r="AE130" s="136">
        <v>7140</v>
      </c>
      <c r="AF130" s="136">
        <v>10507</v>
      </c>
      <c r="AG130" s="137">
        <f t="shared" si="39"/>
        <v>15732.20313</v>
      </c>
      <c r="AH130" s="138">
        <f t="shared" si="40"/>
        <v>0.53323745763254715</v>
      </c>
      <c r="AI130" s="138">
        <f t="shared" si="35"/>
        <v>0.45384616134180311</v>
      </c>
      <c r="AJ130" s="138">
        <f t="shared" si="36"/>
        <v>0.66786577271965342</v>
      </c>
    </row>
    <row r="131" spans="22:36">
      <c r="V131" s="141" t="s">
        <v>285</v>
      </c>
      <c r="W131" s="149">
        <v>256</v>
      </c>
      <c r="X131" s="149">
        <v>1421</v>
      </c>
      <c r="Y131" s="149">
        <f t="shared" ref="Y131:Y162" si="41">VLOOKUP(V131,gdppc,55,FALSE)</f>
        <v>2871.4297013483701</v>
      </c>
      <c r="Z131" s="150">
        <f t="shared" si="33"/>
        <v>8.9154193773153201E-2</v>
      </c>
      <c r="AA131" s="150">
        <f t="shared" si="34"/>
        <v>0.49487542715488553</v>
      </c>
      <c r="AC131" s="29" t="s">
        <v>1136</v>
      </c>
      <c r="AD131" s="28">
        <v>19544</v>
      </c>
      <c r="AE131" s="136">
        <v>16634</v>
      </c>
      <c r="AF131" s="136">
        <v>24477</v>
      </c>
      <c r="AG131" s="137">
        <f t="shared" ref="AG131:AG162" si="42">VLOOKUP(AC131,gdppc,61,FALSE)</f>
        <v>23330.817289999999</v>
      </c>
      <c r="AH131" s="138">
        <f t="shared" ref="AH131:AH162" si="43">AD131/AG131</f>
        <v>0.8376903285071331</v>
      </c>
      <c r="AI131" s="138">
        <f t="shared" si="35"/>
        <v>0.71296259334771039</v>
      </c>
      <c r="AJ131" s="138">
        <f t="shared" si="36"/>
        <v>1.0491274135729174</v>
      </c>
    </row>
    <row r="132" spans="22:36">
      <c r="V132" s="141" t="s">
        <v>1135</v>
      </c>
      <c r="W132" s="149">
        <v>4440</v>
      </c>
      <c r="X132" s="149">
        <v>7908</v>
      </c>
      <c r="Y132" s="149">
        <f t="shared" si="41"/>
        <v>13696.4663046143</v>
      </c>
      <c r="Z132" s="150">
        <f t="shared" ref="Z132:Z184" si="44">W132/$Y132</f>
        <v>0.3241712060069229</v>
      </c>
      <c r="AA132" s="150">
        <f t="shared" ref="AA132:AA184" si="45">X132/$Y132</f>
        <v>0.57737520205016801</v>
      </c>
      <c r="AC132" s="29" t="s">
        <v>1138</v>
      </c>
      <c r="AD132" s="28">
        <v>16233</v>
      </c>
      <c r="AE132" s="136">
        <v>13816</v>
      </c>
      <c r="AF132" s="136">
        <v>20330</v>
      </c>
      <c r="AG132" s="137">
        <f t="shared" si="42"/>
        <v>62276.428690000001</v>
      </c>
      <c r="AH132" s="138">
        <f t="shared" si="43"/>
        <v>0.26066041906167631</v>
      </c>
      <c r="AI132" s="138">
        <f t="shared" ref="AI132:AI176" si="46">AE132/AG132</f>
        <v>0.22184958724549494</v>
      </c>
      <c r="AJ132" s="138">
        <f t="shared" ref="AJ132:AJ176" si="47">AF132/AG132</f>
        <v>0.32644774961645284</v>
      </c>
    </row>
    <row r="133" spans="22:36">
      <c r="V133" s="141" t="s">
        <v>1136</v>
      </c>
      <c r="W133" s="149">
        <v>7738</v>
      </c>
      <c r="X133" s="149">
        <v>11985</v>
      </c>
      <c r="Y133" s="149">
        <f t="shared" si="41"/>
        <v>21647.041811886898</v>
      </c>
      <c r="Z133" s="150">
        <f t="shared" si="44"/>
        <v>0.35746223743841443</v>
      </c>
      <c r="AA133" s="150">
        <f t="shared" si="45"/>
        <v>0.55365532640209325</v>
      </c>
      <c r="AC133" s="29" t="s">
        <v>1086</v>
      </c>
      <c r="AD133" s="28">
        <v>5911</v>
      </c>
      <c r="AE133" s="136">
        <v>5031</v>
      </c>
      <c r="AF133" s="136">
        <v>7404</v>
      </c>
      <c r="AG133" s="137">
        <f t="shared" si="42"/>
        <v>12899.34611</v>
      </c>
      <c r="AH133" s="138">
        <f t="shared" si="43"/>
        <v>0.45824028207271661</v>
      </c>
      <c r="AI133" s="138">
        <f t="shared" si="46"/>
        <v>0.3900197697695546</v>
      </c>
      <c r="AJ133" s="138">
        <f t="shared" si="47"/>
        <v>0.57398258305978578</v>
      </c>
    </row>
    <row r="134" spans="22:36">
      <c r="V134" s="141" t="s">
        <v>1137</v>
      </c>
      <c r="W134" s="149">
        <v>14075</v>
      </c>
      <c r="X134" s="149">
        <v>14849</v>
      </c>
      <c r="Y134" s="149">
        <f t="shared" si="41"/>
        <v>28513.165735106701</v>
      </c>
      <c r="Z134" s="150">
        <f t="shared" si="44"/>
        <v>0.49363161322596399</v>
      </c>
      <c r="AA134" s="150">
        <f t="shared" si="45"/>
        <v>0.52077696801366535</v>
      </c>
      <c r="AC134" s="29" t="s">
        <v>1139</v>
      </c>
      <c r="AD134" s="28">
        <v>6123</v>
      </c>
      <c r="AE134" s="136">
        <v>4466</v>
      </c>
      <c r="AF134" s="136">
        <v>10776</v>
      </c>
      <c r="AG134" s="137">
        <f t="shared" si="42"/>
        <v>11497.64925</v>
      </c>
      <c r="AH134" s="138">
        <f t="shared" si="43"/>
        <v>0.53254364147523459</v>
      </c>
      <c r="AI134" s="138">
        <f t="shared" si="46"/>
        <v>0.38842722567832721</v>
      </c>
      <c r="AJ134" s="138">
        <f t="shared" si="47"/>
        <v>0.93723506133221102</v>
      </c>
    </row>
    <row r="135" spans="22:36">
      <c r="V135" s="141" t="s">
        <v>1138</v>
      </c>
      <c r="W135" s="149">
        <v>31105</v>
      </c>
      <c r="X135" s="149">
        <v>168345</v>
      </c>
      <c r="Y135" s="149">
        <f t="shared" si="41"/>
        <v>85050.684341095694</v>
      </c>
      <c r="Z135" s="150">
        <f t="shared" si="44"/>
        <v>0.36572310077192827</v>
      </c>
      <c r="AA135" s="150">
        <f t="shared" si="45"/>
        <v>1.97934915285164</v>
      </c>
      <c r="AC135" s="29" t="s">
        <v>1088</v>
      </c>
      <c r="AD135" s="28">
        <v>254</v>
      </c>
      <c r="AE135" s="136">
        <v>80</v>
      </c>
      <c r="AF135" s="136">
        <v>398</v>
      </c>
      <c r="AG135" s="137">
        <f t="shared" si="42"/>
        <v>820.14928859999998</v>
      </c>
      <c r="AH135" s="138">
        <f t="shared" si="43"/>
        <v>0.30969971385768025</v>
      </c>
      <c r="AI135" s="138">
        <f t="shared" si="46"/>
        <v>9.7543216963048893E-2</v>
      </c>
      <c r="AJ135" s="138">
        <f t="shared" si="47"/>
        <v>0.48527750439116824</v>
      </c>
    </row>
    <row r="136" spans="22:36">
      <c r="V136" s="141" t="s">
        <v>1086</v>
      </c>
      <c r="W136" s="149">
        <v>2467</v>
      </c>
      <c r="X136" s="149">
        <v>5875</v>
      </c>
      <c r="Y136" s="149">
        <f t="shared" si="41"/>
        <v>9547.8521509661205</v>
      </c>
      <c r="Z136" s="150">
        <f t="shared" si="44"/>
        <v>0.25838271906528959</v>
      </c>
      <c r="AA136" s="150">
        <f t="shared" si="45"/>
        <v>0.61532163539058626</v>
      </c>
      <c r="AC136" s="29" t="s">
        <v>1140</v>
      </c>
      <c r="AD136" s="28">
        <v>2650</v>
      </c>
      <c r="AE136" s="136">
        <v>1933</v>
      </c>
      <c r="AF136" s="136">
        <v>4664</v>
      </c>
      <c r="AG136" s="137">
        <f t="shared" si="42"/>
        <v>4322.8684569999996</v>
      </c>
      <c r="AH136" s="138">
        <f t="shared" si="43"/>
        <v>0.61301888465027621</v>
      </c>
      <c r="AI136" s="138">
        <f t="shared" si="46"/>
        <v>0.44715679397320146</v>
      </c>
      <c r="AJ136" s="138">
        <f t="shared" si="47"/>
        <v>1.078913236984486</v>
      </c>
    </row>
    <row r="137" spans="22:36">
      <c r="V137" s="141" t="s">
        <v>1139</v>
      </c>
      <c r="W137" s="149">
        <v>5007</v>
      </c>
      <c r="X137" s="149">
        <v>8511</v>
      </c>
      <c r="Y137" s="149">
        <f t="shared" si="41"/>
        <v>15974.644627051701</v>
      </c>
      <c r="Z137" s="150">
        <f t="shared" si="44"/>
        <v>0.31343420256880528</v>
      </c>
      <c r="AA137" s="150">
        <f t="shared" si="45"/>
        <v>0.53278180508550066</v>
      </c>
      <c r="AC137" s="29" t="s">
        <v>1141</v>
      </c>
      <c r="AD137" s="28">
        <v>829</v>
      </c>
      <c r="AE137" s="136">
        <v>423</v>
      </c>
      <c r="AF137" s="136">
        <v>1051</v>
      </c>
      <c r="AG137" s="137">
        <f t="shared" si="42"/>
        <v>1987.579702</v>
      </c>
      <c r="AH137" s="138">
        <f t="shared" si="43"/>
        <v>0.41709019224025062</v>
      </c>
      <c r="AI137" s="138">
        <f t="shared" si="46"/>
        <v>0.2128216541829023</v>
      </c>
      <c r="AJ137" s="138">
        <f t="shared" si="47"/>
        <v>0.52878382635042631</v>
      </c>
    </row>
    <row r="138" spans="22:36">
      <c r="V138" s="141" t="s">
        <v>1088</v>
      </c>
      <c r="W138" s="149">
        <v>13</v>
      </c>
      <c r="X138" s="149">
        <v>323</v>
      </c>
      <c r="Y138" s="149">
        <f t="shared" si="41"/>
        <v>722.89432850874903</v>
      </c>
      <c r="Z138" s="150">
        <f t="shared" si="44"/>
        <v>1.7983264617413116E-2</v>
      </c>
      <c r="AA138" s="150">
        <f t="shared" si="45"/>
        <v>0.44681495934034127</v>
      </c>
      <c r="AC138" s="29" t="s">
        <v>1142</v>
      </c>
      <c r="AD138" s="28">
        <v>10863</v>
      </c>
      <c r="AE138" s="136">
        <v>9246</v>
      </c>
      <c r="AF138" s="136">
        <v>13606</v>
      </c>
      <c r="AG138" s="137">
        <f t="shared" si="42"/>
        <v>23139.797979999999</v>
      </c>
      <c r="AH138" s="138">
        <f t="shared" si="43"/>
        <v>0.46945094375452279</v>
      </c>
      <c r="AI138" s="138">
        <f t="shared" si="46"/>
        <v>0.39957133627490726</v>
      </c>
      <c r="AJ138" s="138">
        <f t="shared" si="47"/>
        <v>0.58799130449452608</v>
      </c>
    </row>
    <row r="139" spans="22:36">
      <c r="V139" s="141" t="s">
        <v>1140</v>
      </c>
      <c r="W139" s="149">
        <v>265</v>
      </c>
      <c r="X139" s="149">
        <v>1897</v>
      </c>
      <c r="Y139" s="149">
        <f t="shared" si="41"/>
        <v>4037.8138290513298</v>
      </c>
      <c r="Z139" s="150">
        <f t="shared" si="44"/>
        <v>6.5629573630506102E-2</v>
      </c>
      <c r="AA139" s="150">
        <f t="shared" si="45"/>
        <v>0.46980868368705686</v>
      </c>
      <c r="AC139" s="29" t="s">
        <v>1090</v>
      </c>
      <c r="AD139" s="28">
        <v>437</v>
      </c>
      <c r="AE139" s="136">
        <v>223</v>
      </c>
      <c r="AF139" s="136">
        <v>554</v>
      </c>
      <c r="AG139" s="137">
        <f t="shared" si="42"/>
        <v>1430.1482590000001</v>
      </c>
      <c r="AH139" s="138">
        <f t="shared" si="43"/>
        <v>0.3055627255775305</v>
      </c>
      <c r="AI139" s="138">
        <f t="shared" si="46"/>
        <v>0.15592788971118832</v>
      </c>
      <c r="AJ139" s="138">
        <f t="shared" si="47"/>
        <v>0.38737242556053064</v>
      </c>
    </row>
    <row r="140" spans="22:36">
      <c r="V140" s="141" t="s">
        <v>1141</v>
      </c>
      <c r="W140" s="149">
        <v>68</v>
      </c>
      <c r="X140" s="149">
        <v>827</v>
      </c>
      <c r="Y140" s="149">
        <f t="shared" si="41"/>
        <v>1564.7685479270001</v>
      </c>
      <c r="Z140" s="150">
        <f t="shared" si="44"/>
        <v>4.3456906192347849E-2</v>
      </c>
      <c r="AA140" s="150">
        <f t="shared" si="45"/>
        <v>0.5285126679569363</v>
      </c>
      <c r="AC140" s="29" t="s">
        <v>1143</v>
      </c>
      <c r="AD140" s="28">
        <v>6225</v>
      </c>
      <c r="AE140" s="136">
        <v>4541</v>
      </c>
      <c r="AF140" s="136">
        <v>10956</v>
      </c>
      <c r="AG140" s="137">
        <f t="shared" si="42"/>
        <v>7417.203649</v>
      </c>
      <c r="AH140" s="138">
        <f t="shared" si="43"/>
        <v>0.83926507813214279</v>
      </c>
      <c r="AI140" s="138">
        <f t="shared" si="46"/>
        <v>0.61222533651374467</v>
      </c>
      <c r="AJ140" s="138">
        <f t="shared" si="47"/>
        <v>1.4771065375125714</v>
      </c>
    </row>
    <row r="141" spans="22:36">
      <c r="V141" s="141" t="s">
        <v>1142</v>
      </c>
      <c r="W141" s="149">
        <v>11799</v>
      </c>
      <c r="X141" s="149">
        <v>19797</v>
      </c>
      <c r="Y141" s="149">
        <f t="shared" si="41"/>
        <v>24845.124663786199</v>
      </c>
      <c r="Z141" s="150">
        <f t="shared" si="44"/>
        <v>0.47490202442807655</v>
      </c>
      <c r="AA141" s="150">
        <f t="shared" si="45"/>
        <v>0.79681628761781775</v>
      </c>
      <c r="AC141" s="29" t="s">
        <v>1144</v>
      </c>
      <c r="AD141" s="28">
        <v>6733</v>
      </c>
      <c r="AE141" s="136">
        <v>5731</v>
      </c>
      <c r="AF141" s="136">
        <v>8433</v>
      </c>
      <c r="AG141" s="137">
        <f t="shared" si="42"/>
        <v>16213.48076</v>
      </c>
      <c r="AH141" s="138">
        <f t="shared" si="43"/>
        <v>0.41527171738537899</v>
      </c>
      <c r="AI141" s="138">
        <f t="shared" si="46"/>
        <v>0.35347129249006493</v>
      </c>
      <c r="AJ141" s="138">
        <f t="shared" si="47"/>
        <v>0.52012273766685002</v>
      </c>
    </row>
    <row r="142" spans="22:36">
      <c r="V142" s="141" t="s">
        <v>1090</v>
      </c>
      <c r="W142" s="149">
        <v>34</v>
      </c>
      <c r="X142" s="149">
        <v>544</v>
      </c>
      <c r="Y142" s="149">
        <f t="shared" si="41"/>
        <v>1372.66577931902</v>
      </c>
      <c r="Z142" s="150">
        <f t="shared" si="44"/>
        <v>2.4769321499999376E-2</v>
      </c>
      <c r="AA142" s="150">
        <f t="shared" si="45"/>
        <v>0.39630914399999001</v>
      </c>
      <c r="AC142" s="29" t="s">
        <v>1092</v>
      </c>
      <c r="AD142" s="28">
        <v>163</v>
      </c>
      <c r="AE142" s="136">
        <v>51</v>
      </c>
      <c r="AF142" s="136">
        <v>256</v>
      </c>
      <c r="AG142" s="137">
        <f t="shared" si="42"/>
        <v>521.75483670000006</v>
      </c>
      <c r="AH142" s="138">
        <f t="shared" si="43"/>
        <v>0.31240726205998193</v>
      </c>
      <c r="AI142" s="138">
        <f t="shared" si="46"/>
        <v>9.7747057454350181E-2</v>
      </c>
      <c r="AJ142" s="138">
        <f t="shared" si="47"/>
        <v>0.49065189624144401</v>
      </c>
    </row>
    <row r="143" spans="22:36">
      <c r="V143" s="141" t="s">
        <v>1143</v>
      </c>
      <c r="W143" s="149">
        <v>1061</v>
      </c>
      <c r="X143" s="149">
        <v>4275</v>
      </c>
      <c r="Y143" s="149">
        <f t="shared" si="41"/>
        <v>6755.0736746162902</v>
      </c>
      <c r="Z143" s="150">
        <f t="shared" si="44"/>
        <v>0.15706712481714985</v>
      </c>
      <c r="AA143" s="150">
        <f t="shared" si="45"/>
        <v>0.63285764240651809</v>
      </c>
      <c r="AC143" s="29" t="s">
        <v>1145</v>
      </c>
      <c r="AD143" s="28">
        <v>23408</v>
      </c>
      <c r="AE143" s="136">
        <v>19923</v>
      </c>
      <c r="AF143" s="136">
        <v>29317</v>
      </c>
      <c r="AG143" s="137">
        <f t="shared" si="42"/>
        <v>65640.707949999996</v>
      </c>
      <c r="AH143" s="138">
        <f t="shared" si="43"/>
        <v>0.3566079759199185</v>
      </c>
      <c r="AI143" s="138">
        <f t="shared" si="46"/>
        <v>0.30351592208871053</v>
      </c>
      <c r="AJ143" s="138">
        <f t="shared" si="47"/>
        <v>0.44662833347762515</v>
      </c>
    </row>
    <row r="144" spans="22:36">
      <c r="V144" s="141" t="s">
        <v>1144</v>
      </c>
      <c r="W144" s="149">
        <v>5470</v>
      </c>
      <c r="X144" s="149">
        <v>9265</v>
      </c>
      <c r="Y144" s="149">
        <f t="shared" si="41"/>
        <v>14765.6739800428</v>
      </c>
      <c r="Z144" s="150">
        <f t="shared" si="44"/>
        <v>0.37045379759794372</v>
      </c>
      <c r="AA144" s="150">
        <f t="shared" si="45"/>
        <v>0.62746881805209298</v>
      </c>
      <c r="AC144" s="29" t="s">
        <v>1146</v>
      </c>
      <c r="AD144" s="28">
        <v>11055</v>
      </c>
      <c r="AE144" s="136">
        <v>9409</v>
      </c>
      <c r="AF144" s="136">
        <v>13845</v>
      </c>
      <c r="AG144" s="137">
        <f t="shared" si="42"/>
        <v>19303.54566</v>
      </c>
      <c r="AH144" s="138">
        <f t="shared" si="43"/>
        <v>0.57269271639083952</v>
      </c>
      <c r="AI144" s="138">
        <f t="shared" si="46"/>
        <v>0.48742340737416634</v>
      </c>
      <c r="AJ144" s="138">
        <f t="shared" si="47"/>
        <v>0.71722574929273386</v>
      </c>
    </row>
    <row r="145" spans="22:36">
      <c r="V145" s="141" t="s">
        <v>1092</v>
      </c>
      <c r="W145" s="149">
        <v>23</v>
      </c>
      <c r="X145" s="149">
        <v>435</v>
      </c>
      <c r="Y145" s="149">
        <f t="shared" si="41"/>
        <v>716.83582690691503</v>
      </c>
      <c r="Z145" s="150">
        <f t="shared" si="44"/>
        <v>3.2085449885007875E-2</v>
      </c>
      <c r="AA145" s="150">
        <f t="shared" si="45"/>
        <v>0.60683350869471409</v>
      </c>
      <c r="AC145" s="29" t="s">
        <v>1147</v>
      </c>
      <c r="AD145" s="28">
        <v>19514</v>
      </c>
      <c r="AE145" s="136">
        <v>16608</v>
      </c>
      <c r="AF145" s="136">
        <v>24440</v>
      </c>
      <c r="AG145" s="137">
        <f t="shared" si="42"/>
        <v>25942.95477</v>
      </c>
      <c r="AH145" s="138">
        <f t="shared" si="43"/>
        <v>0.75218879934854854</v>
      </c>
      <c r="AI145" s="138">
        <f t="shared" si="46"/>
        <v>0.64017380237679067</v>
      </c>
      <c r="AJ145" s="138">
        <f t="shared" si="47"/>
        <v>0.94206693943212694</v>
      </c>
    </row>
    <row r="146" spans="22:36">
      <c r="V146" s="141" t="s">
        <v>1145</v>
      </c>
      <c r="W146" s="149">
        <v>22342</v>
      </c>
      <c r="X146" s="149">
        <v>61701</v>
      </c>
      <c r="Y146" s="149">
        <f t="shared" si="41"/>
        <v>56967.425794038303</v>
      </c>
      <c r="Z146" s="150">
        <f t="shared" si="44"/>
        <v>0.39218903941308353</v>
      </c>
      <c r="AA146" s="150">
        <f t="shared" si="45"/>
        <v>1.0830926470694955</v>
      </c>
      <c r="AC146" s="29" t="s">
        <v>1148</v>
      </c>
      <c r="AD146" s="28">
        <v>981</v>
      </c>
      <c r="AE146" s="136">
        <v>501</v>
      </c>
      <c r="AF146" s="136">
        <v>1244</v>
      </c>
      <c r="AG146" s="137">
        <f t="shared" si="42"/>
        <v>2344.048976</v>
      </c>
      <c r="AH146" s="138">
        <f t="shared" si="43"/>
        <v>0.4185066140017375</v>
      </c>
      <c r="AI146" s="138">
        <f t="shared" si="46"/>
        <v>0.2137327355911014</v>
      </c>
      <c r="AJ146" s="138">
        <f t="shared" si="47"/>
        <v>0.5307056348808985</v>
      </c>
    </row>
    <row r="147" spans="22:36">
      <c r="V147" s="141" t="s">
        <v>1146</v>
      </c>
      <c r="W147" s="149">
        <v>6561</v>
      </c>
      <c r="X147" s="149">
        <v>10053</v>
      </c>
      <c r="Y147" s="149">
        <f t="shared" si="41"/>
        <v>18203.2424880484</v>
      </c>
      <c r="Z147" s="150">
        <f t="shared" si="44"/>
        <v>0.36043029170806901</v>
      </c>
      <c r="AA147" s="150">
        <f t="shared" si="45"/>
        <v>0.55226424669123875</v>
      </c>
      <c r="AC147" s="29" t="s">
        <v>1094</v>
      </c>
      <c r="AD147" s="28">
        <v>4512</v>
      </c>
      <c r="AE147" s="136">
        <v>3292</v>
      </c>
      <c r="AF147" s="136">
        <v>7941</v>
      </c>
      <c r="AG147" s="137">
        <f t="shared" si="42"/>
        <v>6624.7618650000004</v>
      </c>
      <c r="AH147" s="138">
        <f t="shared" si="43"/>
        <v>0.68108108516893828</v>
      </c>
      <c r="AI147" s="138">
        <f t="shared" si="46"/>
        <v>0.49692352224648606</v>
      </c>
      <c r="AJ147" s="138">
        <f t="shared" si="47"/>
        <v>1.1986845960386834</v>
      </c>
    </row>
    <row r="148" spans="22:36">
      <c r="V148" s="141" t="s">
        <v>1147</v>
      </c>
      <c r="W148" s="149">
        <v>9135</v>
      </c>
      <c r="X148" s="149">
        <v>12603</v>
      </c>
      <c r="Y148" s="149">
        <f t="shared" si="41"/>
        <v>23496.602499331999</v>
      </c>
      <c r="Z148" s="150">
        <f t="shared" si="44"/>
        <v>0.38877961187195914</v>
      </c>
      <c r="AA148" s="150">
        <f t="shared" si="45"/>
        <v>0.53637541854650261</v>
      </c>
      <c r="AC148" s="29" t="s">
        <v>1149</v>
      </c>
      <c r="AD148" s="28">
        <v>24733</v>
      </c>
      <c r="AE148" s="136">
        <v>21051</v>
      </c>
      <c r="AF148" s="136">
        <v>30977</v>
      </c>
      <c r="AG148" s="137">
        <f t="shared" si="42"/>
        <v>29555.315699999999</v>
      </c>
      <c r="AH148" s="138">
        <f t="shared" si="43"/>
        <v>0.83683761835100279</v>
      </c>
      <c r="AI148" s="138">
        <f t="shared" si="46"/>
        <v>0.71225765996470136</v>
      </c>
      <c r="AJ148" s="138">
        <f t="shared" si="47"/>
        <v>1.0481024907475442</v>
      </c>
    </row>
    <row r="149" spans="22:36">
      <c r="V149" s="141" t="s">
        <v>1148</v>
      </c>
      <c r="W149" s="149">
        <v>57</v>
      </c>
      <c r="X149" s="149">
        <v>1004</v>
      </c>
      <c r="Y149" s="149">
        <f t="shared" si="41"/>
        <v>2248.6149350511701</v>
      </c>
      <c r="Z149" s="150">
        <f t="shared" si="44"/>
        <v>2.5348937744515555E-2</v>
      </c>
      <c r="AA149" s="150">
        <f t="shared" si="45"/>
        <v>0.44649707886830908</v>
      </c>
      <c r="AC149" s="29" t="s">
        <v>1096</v>
      </c>
      <c r="AD149" s="28">
        <v>1349</v>
      </c>
      <c r="AE149" s="136">
        <v>689</v>
      </c>
      <c r="AF149" s="136">
        <v>1711</v>
      </c>
      <c r="AG149" s="137">
        <f t="shared" si="42"/>
        <v>3852.2656029999998</v>
      </c>
      <c r="AH149" s="138">
        <f t="shared" si="43"/>
        <v>0.35018353847394362</v>
      </c>
      <c r="AI149" s="138">
        <f t="shared" si="46"/>
        <v>0.17885578799744042</v>
      </c>
      <c r="AJ149" s="138">
        <f t="shared" si="47"/>
        <v>0.4441542137352984</v>
      </c>
    </row>
    <row r="150" spans="22:36">
      <c r="V150" s="141" t="s">
        <v>1094</v>
      </c>
      <c r="W150" s="149">
        <v>1175</v>
      </c>
      <c r="X150" s="149">
        <v>4714</v>
      </c>
      <c r="Y150" s="149">
        <f t="shared" si="41"/>
        <v>7467.0791851039403</v>
      </c>
      <c r="Z150" s="150">
        <f t="shared" si="44"/>
        <v>0.15735737774738012</v>
      </c>
      <c r="AA150" s="150">
        <f t="shared" si="45"/>
        <v>0.63130440740523397</v>
      </c>
      <c r="AC150" s="29" t="s">
        <v>1151</v>
      </c>
      <c r="AD150" s="28">
        <v>5076</v>
      </c>
      <c r="AE150" s="136">
        <v>3703</v>
      </c>
      <c r="AF150" s="136">
        <v>8935</v>
      </c>
      <c r="AG150" s="137">
        <f t="shared" si="42"/>
        <v>11591.080480000001</v>
      </c>
      <c r="AH150" s="138">
        <f t="shared" si="43"/>
        <v>0.43792293641291324</v>
      </c>
      <c r="AI150" s="138">
        <f t="shared" si="46"/>
        <v>0.31946978596079939</v>
      </c>
      <c r="AJ150" s="138">
        <f t="shared" si="47"/>
        <v>0.77085134689704093</v>
      </c>
    </row>
    <row r="151" spans="22:36">
      <c r="V151" s="141" t="s">
        <v>412</v>
      </c>
      <c r="W151" s="149">
        <v>40</v>
      </c>
      <c r="X151" s="149">
        <v>617</v>
      </c>
      <c r="Y151" s="149">
        <f t="shared" si="41"/>
        <v>1779.47036531513</v>
      </c>
      <c r="Z151" s="150">
        <f t="shared" si="44"/>
        <v>2.2478598564869227E-2</v>
      </c>
      <c r="AA151" s="150">
        <f t="shared" si="45"/>
        <v>0.34673238286310781</v>
      </c>
      <c r="AC151" s="29" t="s">
        <v>1152</v>
      </c>
      <c r="AD151" s="28">
        <v>3287</v>
      </c>
      <c r="AE151" s="136">
        <v>2398</v>
      </c>
      <c r="AF151" s="136">
        <v>5785</v>
      </c>
      <c r="AG151" s="137">
        <f t="shared" si="42"/>
        <v>7460.153362</v>
      </c>
      <c r="AH151" s="138">
        <f t="shared" si="43"/>
        <v>0.44060756401377582</v>
      </c>
      <c r="AI151" s="138">
        <f t="shared" si="46"/>
        <v>0.32144111302252343</v>
      </c>
      <c r="AJ151" s="138">
        <f t="shared" si="47"/>
        <v>0.77545322720404419</v>
      </c>
    </row>
    <row r="152" spans="22:36">
      <c r="V152" s="141" t="s">
        <v>1149</v>
      </c>
      <c r="W152" s="149">
        <v>13277</v>
      </c>
      <c r="X152" s="149">
        <v>15531</v>
      </c>
      <c r="Y152" s="149">
        <f t="shared" si="41"/>
        <v>29059.5479522321</v>
      </c>
      <c r="Z152" s="150">
        <f t="shared" si="44"/>
        <v>0.45688941967798841</v>
      </c>
      <c r="AA152" s="150">
        <f t="shared" si="45"/>
        <v>0.534454287641699</v>
      </c>
      <c r="AC152" s="29" t="s">
        <v>1097</v>
      </c>
      <c r="AD152" s="28">
        <v>208</v>
      </c>
      <c r="AE152" s="136">
        <v>66</v>
      </c>
      <c r="AF152" s="136">
        <v>327</v>
      </c>
      <c r="AG152" s="137">
        <f t="shared" si="42"/>
        <v>753.28217410000002</v>
      </c>
      <c r="AH152" s="138">
        <f t="shared" si="43"/>
        <v>0.27612494646977737</v>
      </c>
      <c r="AI152" s="138">
        <f t="shared" si="46"/>
        <v>8.7616569552910112E-2</v>
      </c>
      <c r="AJ152" s="138">
        <f t="shared" si="47"/>
        <v>0.4341002764212365</v>
      </c>
    </row>
    <row r="153" spans="22:36">
      <c r="V153" s="141" t="s">
        <v>1096</v>
      </c>
      <c r="W153" s="149">
        <v>453</v>
      </c>
      <c r="X153" s="149">
        <v>1686</v>
      </c>
      <c r="Y153" s="149">
        <f t="shared" si="41"/>
        <v>3610.2893630489798</v>
      </c>
      <c r="Z153" s="150">
        <f t="shared" si="44"/>
        <v>0.1254747069961811</v>
      </c>
      <c r="AA153" s="150">
        <f t="shared" si="45"/>
        <v>0.46699857835664749</v>
      </c>
      <c r="AC153" s="29" t="s">
        <v>1153</v>
      </c>
      <c r="AD153" s="28">
        <v>5745</v>
      </c>
      <c r="AE153" s="136">
        <v>4191</v>
      </c>
      <c r="AF153" s="136">
        <v>10111</v>
      </c>
      <c r="AG153" s="137">
        <f t="shared" si="42"/>
        <v>6853.6934110000002</v>
      </c>
      <c r="AH153" s="138">
        <f t="shared" si="43"/>
        <v>0.83823416886133595</v>
      </c>
      <c r="AI153" s="138">
        <f t="shared" si="46"/>
        <v>0.61149510908578919</v>
      </c>
      <c r="AJ153" s="138">
        <f t="shared" si="47"/>
        <v>1.475262955849777</v>
      </c>
    </row>
    <row r="154" spans="22:36">
      <c r="V154" s="141" t="s">
        <v>1150</v>
      </c>
      <c r="W154" s="149">
        <v>4110</v>
      </c>
      <c r="X154" s="149">
        <v>8409</v>
      </c>
      <c r="Y154" s="149">
        <f t="shared" si="41"/>
        <v>16685.9475912091</v>
      </c>
      <c r="Z154" s="150">
        <f t="shared" si="44"/>
        <v>0.24631504908749269</v>
      </c>
      <c r="AA154" s="150">
        <f t="shared" si="45"/>
        <v>0.50395699459287735</v>
      </c>
      <c r="AC154" s="29" t="s">
        <v>1154</v>
      </c>
      <c r="AD154" s="28">
        <v>50978</v>
      </c>
      <c r="AE154" s="136">
        <v>43388</v>
      </c>
      <c r="AF154" s="136">
        <v>63848</v>
      </c>
      <c r="AG154" s="137">
        <f t="shared" si="42"/>
        <v>51939.42974</v>
      </c>
      <c r="AH154" s="138">
        <f t="shared" si="43"/>
        <v>0.98148940516265282</v>
      </c>
      <c r="AI154" s="138">
        <f t="shared" si="46"/>
        <v>0.83535765057862565</v>
      </c>
      <c r="AJ154" s="138">
        <f t="shared" si="47"/>
        <v>1.2292780325007857</v>
      </c>
    </row>
    <row r="155" spans="22:36">
      <c r="V155" s="141" t="s">
        <v>1151</v>
      </c>
      <c r="W155" s="149">
        <v>1107</v>
      </c>
      <c r="X155" s="149">
        <v>4133</v>
      </c>
      <c r="Y155" s="149">
        <f t="shared" si="41"/>
        <v>9378.9850468479199</v>
      </c>
      <c r="Z155" s="150">
        <f t="shared" si="44"/>
        <v>0.11802982886426922</v>
      </c>
      <c r="AA155" s="150">
        <f t="shared" si="45"/>
        <v>0.44066601869559591</v>
      </c>
      <c r="AC155" s="29" t="s">
        <v>1155</v>
      </c>
      <c r="AD155" s="28">
        <v>87811</v>
      </c>
      <c r="AE155" s="136">
        <v>74738</v>
      </c>
      <c r="AF155" s="136">
        <v>109980</v>
      </c>
      <c r="AG155" s="137">
        <f t="shared" si="42"/>
        <v>85334.519459999996</v>
      </c>
      <c r="AH155" s="138">
        <f t="shared" si="43"/>
        <v>1.0290208529405365</v>
      </c>
      <c r="AI155" s="138">
        <f t="shared" si="46"/>
        <v>0.87582376361810943</v>
      </c>
      <c r="AJ155" s="138">
        <f t="shared" si="47"/>
        <v>1.2888102106387604</v>
      </c>
    </row>
    <row r="156" spans="22:36">
      <c r="V156" s="141" t="s">
        <v>1152</v>
      </c>
      <c r="W156" s="149">
        <v>998</v>
      </c>
      <c r="X156" s="149">
        <v>3746</v>
      </c>
      <c r="Y156" s="149">
        <f t="shared" si="41"/>
        <v>6639.48489659198</v>
      </c>
      <c r="Z156" s="150">
        <f t="shared" si="44"/>
        <v>0.15031286546223929</v>
      </c>
      <c r="AA156" s="150">
        <f t="shared" si="45"/>
        <v>0.56420039481117068</v>
      </c>
      <c r="AC156" s="29" t="s">
        <v>1100</v>
      </c>
      <c r="AD156" s="28">
        <v>314</v>
      </c>
      <c r="AE156" s="136">
        <v>99</v>
      </c>
      <c r="AF156" s="136">
        <v>494</v>
      </c>
      <c r="AG156" s="137">
        <f t="shared" si="42"/>
        <v>890.54440239999997</v>
      </c>
      <c r="AH156" s="138">
        <f t="shared" si="43"/>
        <v>0.35259331163474394</v>
      </c>
      <c r="AI156" s="138">
        <f t="shared" si="46"/>
        <v>0.11116795494216448</v>
      </c>
      <c r="AJ156" s="138">
        <f t="shared" si="47"/>
        <v>0.554716866075043</v>
      </c>
    </row>
    <row r="157" spans="22:36">
      <c r="V157" s="141" t="s">
        <v>1097</v>
      </c>
      <c r="W157" s="149">
        <v>84</v>
      </c>
      <c r="X157" s="149">
        <v>901</v>
      </c>
      <c r="Y157" s="149">
        <f t="shared" si="41"/>
        <v>1381.4894621170999</v>
      </c>
      <c r="Z157" s="150">
        <f t="shared" si="44"/>
        <v>6.0803938287934518E-2</v>
      </c>
      <c r="AA157" s="150">
        <f t="shared" si="45"/>
        <v>0.65219462377891668</v>
      </c>
      <c r="AC157" s="29" t="s">
        <v>1101</v>
      </c>
      <c r="AD157" s="28">
        <v>281</v>
      </c>
      <c r="AE157" s="136">
        <v>144</v>
      </c>
      <c r="AF157" s="136">
        <v>357</v>
      </c>
      <c r="AG157" s="137">
        <f t="shared" si="42"/>
        <v>1085.884861</v>
      </c>
      <c r="AH157" s="138">
        <f t="shared" si="43"/>
        <v>0.2587751336188856</v>
      </c>
      <c r="AI157" s="138">
        <f t="shared" si="46"/>
        <v>0.13261074463031858</v>
      </c>
      <c r="AJ157" s="138">
        <f t="shared" si="47"/>
        <v>0.3287641377293315</v>
      </c>
    </row>
    <row r="158" spans="22:36">
      <c r="V158" s="141" t="s">
        <v>1153</v>
      </c>
      <c r="W158" s="149">
        <v>2286</v>
      </c>
      <c r="X158" s="149">
        <v>6525</v>
      </c>
      <c r="Y158" s="149">
        <f t="shared" si="41"/>
        <v>9402.1644191113992</v>
      </c>
      <c r="Z158" s="150">
        <f t="shared" si="44"/>
        <v>0.24313550562393274</v>
      </c>
      <c r="AA158" s="150">
        <f t="shared" si="45"/>
        <v>0.69398914006831203</v>
      </c>
      <c r="AC158" s="29" t="s">
        <v>252</v>
      </c>
      <c r="AD158" s="28">
        <v>2909</v>
      </c>
      <c r="AE158" s="136">
        <v>2122</v>
      </c>
      <c r="AF158" s="136">
        <v>5119</v>
      </c>
      <c r="AG158" s="137">
        <f t="shared" si="42"/>
        <v>7817.0096709999998</v>
      </c>
      <c r="AH158" s="138">
        <f t="shared" si="43"/>
        <v>0.37213718831537057</v>
      </c>
      <c r="AI158" s="138">
        <f t="shared" si="46"/>
        <v>0.27145930340502455</v>
      </c>
      <c r="AJ158" s="138">
        <f t="shared" si="47"/>
        <v>0.65485399346386453</v>
      </c>
    </row>
    <row r="159" spans="22:36">
      <c r="V159" s="141" t="s">
        <v>1099</v>
      </c>
      <c r="W159" s="149">
        <v>288</v>
      </c>
      <c r="X159" s="149">
        <v>1559</v>
      </c>
      <c r="Y159" s="149">
        <f t="shared" si="41"/>
        <v>0</v>
      </c>
      <c r="Z159" s="150" t="e">
        <f t="shared" si="44"/>
        <v>#DIV/0!</v>
      </c>
      <c r="AA159" s="150" t="e">
        <f t="shared" si="45"/>
        <v>#DIV/0!</v>
      </c>
      <c r="AC159" s="29" t="s">
        <v>1156</v>
      </c>
      <c r="AD159" s="28">
        <v>699</v>
      </c>
      <c r="AE159" s="136">
        <v>357</v>
      </c>
      <c r="AF159" s="136">
        <v>886</v>
      </c>
      <c r="AG159" s="137">
        <f t="shared" si="42"/>
        <v>1583.7135760000001</v>
      </c>
      <c r="AH159" s="138">
        <f t="shared" si="43"/>
        <v>0.44136768831992379</v>
      </c>
      <c r="AI159" s="138">
        <f t="shared" si="46"/>
        <v>0.22541954897026151</v>
      </c>
      <c r="AJ159" s="138">
        <f t="shared" si="47"/>
        <v>0.55944459492339416</v>
      </c>
    </row>
    <row r="160" spans="22:36">
      <c r="V160" s="141" t="s">
        <v>1154</v>
      </c>
      <c r="W160" s="149">
        <v>28306</v>
      </c>
      <c r="X160" s="149">
        <v>36028</v>
      </c>
      <c r="Y160" s="149">
        <f t="shared" si="41"/>
        <v>61126.9431963979</v>
      </c>
      <c r="Z160" s="150">
        <f t="shared" si="44"/>
        <v>0.46306912336601219</v>
      </c>
      <c r="AA160" s="150">
        <f t="shared" si="45"/>
        <v>0.58939639569810953</v>
      </c>
      <c r="AC160" s="29" t="s">
        <v>1104</v>
      </c>
      <c r="AD160" s="28">
        <v>212</v>
      </c>
      <c r="AE160" s="136">
        <v>67</v>
      </c>
      <c r="AF160" s="136">
        <v>333</v>
      </c>
      <c r="AG160" s="137">
        <f t="shared" si="42"/>
        <v>893.35245410000005</v>
      </c>
      <c r="AH160" s="138">
        <f t="shared" si="43"/>
        <v>0.23730835352501214</v>
      </c>
      <c r="AI160" s="138">
        <f t="shared" si="46"/>
        <v>7.4998394746112335E-2</v>
      </c>
      <c r="AJ160" s="138">
        <f t="shared" si="47"/>
        <v>0.37275321567843889</v>
      </c>
    </row>
    <row r="161" spans="22:36">
      <c r="V161" s="141" t="s">
        <v>1155</v>
      </c>
      <c r="W161" s="149">
        <v>36661</v>
      </c>
      <c r="X161" s="149">
        <v>61348</v>
      </c>
      <c r="Y161" s="149">
        <f t="shared" si="41"/>
        <v>88109.486752403696</v>
      </c>
      <c r="Z161" s="150">
        <f t="shared" si="44"/>
        <v>0.41608459373984336</v>
      </c>
      <c r="AA161" s="150">
        <f t="shared" si="45"/>
        <v>0.69627008692484949</v>
      </c>
      <c r="AC161" s="29" t="s">
        <v>1157</v>
      </c>
      <c r="AD161" s="28">
        <v>2145</v>
      </c>
      <c r="AE161" s="136">
        <v>1564</v>
      </c>
      <c r="AF161" s="136">
        <v>3775</v>
      </c>
      <c r="AG161" s="137">
        <f t="shared" si="42"/>
        <v>4903.012138</v>
      </c>
      <c r="AH161" s="138">
        <f t="shared" si="43"/>
        <v>0.43748616964978027</v>
      </c>
      <c r="AI161" s="138">
        <f t="shared" si="46"/>
        <v>0.31898758477028272</v>
      </c>
      <c r="AJ161" s="138">
        <f t="shared" si="47"/>
        <v>0.76993486733236394</v>
      </c>
    </row>
    <row r="162" spans="22:36">
      <c r="V162" s="141" t="s">
        <v>1100</v>
      </c>
      <c r="W162" s="149">
        <v>37</v>
      </c>
      <c r="X162" s="149">
        <v>533</v>
      </c>
      <c r="Y162" s="149">
        <f t="shared" si="41"/>
        <v>1048.2256018262401</v>
      </c>
      <c r="Z162" s="150">
        <f t="shared" si="44"/>
        <v>3.5297745004069583E-2</v>
      </c>
      <c r="AA162" s="150">
        <f t="shared" si="45"/>
        <v>0.50847832668024562</v>
      </c>
      <c r="AC162" s="29" t="s">
        <v>1158</v>
      </c>
      <c r="AD162" s="28">
        <v>8919</v>
      </c>
      <c r="AE162" s="136">
        <v>7591</v>
      </c>
      <c r="AF162" s="136">
        <v>11171</v>
      </c>
      <c r="AG162" s="137">
        <f t="shared" si="42"/>
        <v>16637.162939999998</v>
      </c>
      <c r="AH162" s="138">
        <f t="shared" si="43"/>
        <v>0.5360889973948888</v>
      </c>
      <c r="AI162" s="138">
        <f t="shared" si="46"/>
        <v>0.45626769584309912</v>
      </c>
      <c r="AJ162" s="138">
        <f t="shared" si="47"/>
        <v>0.67144861418301416</v>
      </c>
    </row>
    <row r="163" spans="22:36">
      <c r="V163" s="141" t="s">
        <v>1101</v>
      </c>
      <c r="W163" s="149">
        <v>18</v>
      </c>
      <c r="X163" s="149">
        <v>357</v>
      </c>
      <c r="Y163" s="149">
        <f t="shared" ref="Y163:Y184" si="48">VLOOKUP(V163,gdppc,55,FALSE)</f>
        <v>970.39960143041105</v>
      </c>
      <c r="Z163" s="150">
        <f t="shared" si="44"/>
        <v>1.8549059555947076E-2</v>
      </c>
      <c r="AA163" s="150">
        <f t="shared" si="45"/>
        <v>0.36788968119295035</v>
      </c>
      <c r="AC163" s="29" t="s">
        <v>583</v>
      </c>
      <c r="AD163" s="28">
        <v>1947</v>
      </c>
      <c r="AE163" s="136">
        <v>994</v>
      </c>
      <c r="AF163" s="136">
        <v>2470</v>
      </c>
      <c r="AG163" s="137">
        <f t="shared" ref="AG163:AG176" si="49">VLOOKUP(AC163,gdppc,61,FALSE)</f>
        <v>3574.6540239999999</v>
      </c>
      <c r="AH163" s="138">
        <f t="shared" ref="AH163:AH176" si="50">AD163/AG163</f>
        <v>0.54466809568925156</v>
      </c>
      <c r="AI163" s="138">
        <f t="shared" si="46"/>
        <v>0.27806886857478996</v>
      </c>
      <c r="AJ163" s="138">
        <f t="shared" si="47"/>
        <v>0.69097596114661086</v>
      </c>
    </row>
    <row r="164" spans="22:36">
      <c r="V164" s="141" t="s">
        <v>252</v>
      </c>
      <c r="W164" s="149">
        <v>1181</v>
      </c>
      <c r="X164" s="149">
        <v>3943</v>
      </c>
      <c r="Y164" s="149">
        <f t="shared" si="48"/>
        <v>6168.2613556994402</v>
      </c>
      <c r="Z164" s="150">
        <f t="shared" si="44"/>
        <v>0.19146400126329965</v>
      </c>
      <c r="AA164" s="150">
        <f t="shared" si="45"/>
        <v>0.63924009905265922</v>
      </c>
      <c r="AC164" s="29" t="s">
        <v>455</v>
      </c>
      <c r="AD164" s="28">
        <v>3940</v>
      </c>
      <c r="AE164" s="136">
        <v>2874</v>
      </c>
      <c r="AF164" s="136">
        <v>6934</v>
      </c>
      <c r="AG164" s="137">
        <f t="shared" si="49"/>
        <v>9121.5151669999996</v>
      </c>
      <c r="AH164" s="138">
        <f t="shared" si="50"/>
        <v>0.43194578179886289</v>
      </c>
      <c r="AI164" s="138">
        <f t="shared" si="46"/>
        <v>0.31507923271318067</v>
      </c>
      <c r="AJ164" s="138">
        <f t="shared" si="47"/>
        <v>0.76018072360236422</v>
      </c>
    </row>
    <row r="165" spans="22:36">
      <c r="V165" s="141" t="s">
        <v>1156</v>
      </c>
      <c r="W165" s="149">
        <v>999999</v>
      </c>
      <c r="X165" s="149">
        <v>999999</v>
      </c>
      <c r="Y165" s="149">
        <f t="shared" si="48"/>
        <v>1210.0356545806401</v>
      </c>
      <c r="Z165" s="150">
        <f t="shared" si="44"/>
        <v>826.42110272904961</v>
      </c>
      <c r="AA165" s="150">
        <f t="shared" si="45"/>
        <v>826.42110272904961</v>
      </c>
      <c r="AC165" s="29" t="s">
        <v>1108</v>
      </c>
      <c r="AD165" s="28">
        <v>4218</v>
      </c>
      <c r="AE165" s="136">
        <v>3077</v>
      </c>
      <c r="AF165" s="136">
        <v>7423</v>
      </c>
      <c r="AG165" s="137">
        <f t="shared" si="49"/>
        <v>7612.0351799999999</v>
      </c>
      <c r="AH165" s="138">
        <f t="shared" si="50"/>
        <v>0.55412250472547087</v>
      </c>
      <c r="AI165" s="138">
        <f t="shared" si="46"/>
        <v>0.40422829469897431</v>
      </c>
      <c r="AJ165" s="138">
        <f t="shared" si="47"/>
        <v>0.97516627609700568</v>
      </c>
    </row>
    <row r="166" spans="22:36">
      <c r="V166" s="141" t="s">
        <v>1104</v>
      </c>
      <c r="W166" s="149">
        <v>13</v>
      </c>
      <c r="X166" s="149">
        <v>327</v>
      </c>
      <c r="Y166" s="149">
        <f t="shared" si="48"/>
        <v>621.39885357468302</v>
      </c>
      <c r="Z166" s="150">
        <f t="shared" si="44"/>
        <v>2.0920540688505778E-2</v>
      </c>
      <c r="AA166" s="150">
        <f t="shared" si="45"/>
        <v>0.526232061933953</v>
      </c>
      <c r="AC166" s="29" t="s">
        <v>1110</v>
      </c>
      <c r="AD166" s="28">
        <v>139</v>
      </c>
      <c r="AE166" s="136">
        <v>44</v>
      </c>
      <c r="AF166" s="136">
        <v>219</v>
      </c>
      <c r="AG166" s="137">
        <f t="shared" si="49"/>
        <v>798.58573409999997</v>
      </c>
      <c r="AH166" s="138">
        <f t="shared" si="50"/>
        <v>0.17405770484574451</v>
      </c>
      <c r="AI166" s="138">
        <f t="shared" si="46"/>
        <v>5.5097402972753659E-2</v>
      </c>
      <c r="AJ166" s="138">
        <f t="shared" si="47"/>
        <v>0.27423480115984206</v>
      </c>
    </row>
    <row r="167" spans="22:36">
      <c r="V167" s="141" t="s">
        <v>1157</v>
      </c>
      <c r="W167" s="149">
        <v>333</v>
      </c>
      <c r="X167" s="149">
        <v>2275</v>
      </c>
      <c r="Y167" s="149">
        <f t="shared" si="48"/>
        <v>4428.1465213085503</v>
      </c>
      <c r="Z167" s="150">
        <f t="shared" si="44"/>
        <v>7.5200763659824879E-2</v>
      </c>
      <c r="AA167" s="150">
        <f t="shared" si="45"/>
        <v>0.51375897094925405</v>
      </c>
      <c r="AC167" s="29" t="s">
        <v>1111</v>
      </c>
      <c r="AD167" s="28">
        <v>1892</v>
      </c>
      <c r="AE167" s="136">
        <v>966</v>
      </c>
      <c r="AF167" s="136">
        <v>2400</v>
      </c>
      <c r="AG167" s="137">
        <f t="shared" si="49"/>
        <v>3662.563087</v>
      </c>
      <c r="AH167" s="138">
        <f t="shared" si="50"/>
        <v>0.51657813259668228</v>
      </c>
      <c r="AI167" s="138">
        <f t="shared" si="46"/>
        <v>0.26374972309111794</v>
      </c>
      <c r="AJ167" s="138">
        <f t="shared" si="47"/>
        <v>0.65527881513321218</v>
      </c>
    </row>
    <row r="168" spans="22:36">
      <c r="V168" s="141" t="s">
        <v>1158</v>
      </c>
      <c r="W168" s="149">
        <v>7941</v>
      </c>
      <c r="X168" s="149">
        <v>9959</v>
      </c>
      <c r="Y168" s="149">
        <f t="shared" si="48"/>
        <v>20143.545406065899</v>
      </c>
      <c r="Z168" s="150">
        <f t="shared" si="44"/>
        <v>0.3942205723928171</v>
      </c>
      <c r="AA168" s="150">
        <f t="shared" si="45"/>
        <v>0.49440154646267037</v>
      </c>
      <c r="AC168" s="29" t="s">
        <v>1168</v>
      </c>
      <c r="AD168" s="28">
        <v>15889</v>
      </c>
      <c r="AE168" s="136">
        <v>13524</v>
      </c>
      <c r="AF168" s="136">
        <v>19900</v>
      </c>
      <c r="AG168" s="137">
        <f t="shared" si="49"/>
        <v>42701.443050000002</v>
      </c>
      <c r="AH168" s="138">
        <f t="shared" si="50"/>
        <v>0.37209515335102944</v>
      </c>
      <c r="AI168" s="138">
        <f t="shared" si="46"/>
        <v>0.31671060821444535</v>
      </c>
      <c r="AJ168" s="138">
        <f t="shared" si="47"/>
        <v>0.46602640516618321</v>
      </c>
    </row>
    <row r="169" spans="22:36">
      <c r="V169" s="141" t="s">
        <v>583</v>
      </c>
      <c r="W169" s="149">
        <v>678</v>
      </c>
      <c r="X169" s="149">
        <v>2592</v>
      </c>
      <c r="Y169" s="149">
        <f t="shared" si="48"/>
        <v>4444.8165114118101</v>
      </c>
      <c r="Z169" s="150">
        <f t="shared" si="44"/>
        <v>0.15253723033544223</v>
      </c>
      <c r="AA169" s="150">
        <f t="shared" si="45"/>
        <v>0.58315118145938971</v>
      </c>
      <c r="AC169" s="29" t="s">
        <v>1160</v>
      </c>
      <c r="AD169" s="28">
        <v>37952</v>
      </c>
      <c r="AE169" s="136">
        <v>32302</v>
      </c>
      <c r="AF169" s="136">
        <v>47532</v>
      </c>
      <c r="AG169" s="137">
        <f t="shared" si="49"/>
        <v>43070.498359999998</v>
      </c>
      <c r="AH169" s="138">
        <f t="shared" si="50"/>
        <v>0.88115999222443175</v>
      </c>
      <c r="AI169" s="138">
        <f t="shared" si="46"/>
        <v>0.7499797130278667</v>
      </c>
      <c r="AJ169" s="138">
        <f t="shared" si="47"/>
        <v>1.1035860231453334</v>
      </c>
    </row>
    <row r="170" spans="22:36">
      <c r="V170" s="141" t="s">
        <v>455</v>
      </c>
      <c r="W170" s="149">
        <v>2950</v>
      </c>
      <c r="X170" s="149">
        <v>6861</v>
      </c>
      <c r="Y170" s="149">
        <f t="shared" si="48"/>
        <v>12614.781610038601</v>
      </c>
      <c r="Z170" s="150">
        <f t="shared" si="44"/>
        <v>0.2338526413848058</v>
      </c>
      <c r="AA170" s="150">
        <f t="shared" si="45"/>
        <v>0.54388575340378054</v>
      </c>
      <c r="AC170" s="29" t="s">
        <v>155</v>
      </c>
      <c r="AD170" s="28">
        <v>95958</v>
      </c>
      <c r="AE170" s="136">
        <v>81672</v>
      </c>
      <c r="AF170" s="136">
        <v>120181</v>
      </c>
      <c r="AG170" s="137">
        <f t="shared" si="49"/>
        <v>65279.529029999998</v>
      </c>
      <c r="AH170" s="138">
        <f t="shared" si="50"/>
        <v>1.4699554581023606</v>
      </c>
      <c r="AI170" s="138">
        <f t="shared" si="46"/>
        <v>1.2511119674663498</v>
      </c>
      <c r="AJ170" s="138">
        <f t="shared" si="47"/>
        <v>1.8410212479438901</v>
      </c>
    </row>
    <row r="171" spans="22:36">
      <c r="V171" s="141" t="s">
        <v>1108</v>
      </c>
      <c r="W171" s="149">
        <v>1588</v>
      </c>
      <c r="X171" s="149">
        <v>5495</v>
      </c>
      <c r="Y171" s="149">
        <f t="shared" si="48"/>
        <v>7304.28577118881</v>
      </c>
      <c r="Z171" s="150">
        <f t="shared" si="44"/>
        <v>0.21740660890675212</v>
      </c>
      <c r="AA171" s="150">
        <f t="shared" si="45"/>
        <v>0.75229805789836457</v>
      </c>
      <c r="AC171" s="29" t="s">
        <v>334</v>
      </c>
      <c r="AD171" s="28">
        <v>13978</v>
      </c>
      <c r="AE171" s="136">
        <v>11897</v>
      </c>
      <c r="AF171" s="136">
        <v>17506</v>
      </c>
      <c r="AG171" s="137">
        <f t="shared" si="49"/>
        <v>17688.015009999999</v>
      </c>
      <c r="AH171" s="138">
        <f t="shared" si="50"/>
        <v>0.79025260845252987</v>
      </c>
      <c r="AI171" s="138">
        <f t="shared" si="46"/>
        <v>0.67260232384888741</v>
      </c>
      <c r="AJ171" s="138">
        <f t="shared" si="47"/>
        <v>0.98970969835241007</v>
      </c>
    </row>
    <row r="172" spans="22:36">
      <c r="V172" s="141" t="s">
        <v>1159</v>
      </c>
      <c r="W172" s="149">
        <v>200</v>
      </c>
      <c r="X172" s="149">
        <v>1991</v>
      </c>
      <c r="Y172" s="149">
        <f t="shared" si="48"/>
        <v>3457.3762661098099</v>
      </c>
      <c r="Z172" s="150">
        <f t="shared" si="44"/>
        <v>5.7847334107212212E-2</v>
      </c>
      <c r="AA172" s="150">
        <f t="shared" si="45"/>
        <v>0.57587021103729752</v>
      </c>
      <c r="AC172" s="29" t="s">
        <v>1112</v>
      </c>
      <c r="AD172" s="28">
        <v>745</v>
      </c>
      <c r="AE172" s="136">
        <v>380</v>
      </c>
      <c r="AF172" s="136">
        <v>945</v>
      </c>
      <c r="AG172" s="137">
        <f t="shared" si="49"/>
        <v>1784.009816</v>
      </c>
      <c r="AH172" s="138">
        <f t="shared" si="50"/>
        <v>0.41759859913237157</v>
      </c>
      <c r="AI172" s="138">
        <f t="shared" si="46"/>
        <v>0.21300331230912914</v>
      </c>
      <c r="AJ172" s="138">
        <f t="shared" si="47"/>
        <v>0.52970560561086055</v>
      </c>
    </row>
    <row r="173" spans="22:36">
      <c r="V173" s="141" t="s">
        <v>1110</v>
      </c>
      <c r="W173" s="149">
        <v>11</v>
      </c>
      <c r="X173" s="149">
        <v>293</v>
      </c>
      <c r="Y173" s="149">
        <f t="shared" si="48"/>
        <v>810.090395013891</v>
      </c>
      <c r="Z173" s="150">
        <f t="shared" si="44"/>
        <v>1.3578731543670973E-2</v>
      </c>
      <c r="AA173" s="150">
        <f t="shared" si="45"/>
        <v>0.36168803111778136</v>
      </c>
      <c r="AC173" s="29" t="s">
        <v>1161</v>
      </c>
      <c r="AD173" s="28">
        <v>851</v>
      </c>
      <c r="AE173" s="136">
        <v>434</v>
      </c>
      <c r="AF173" s="136">
        <v>1079</v>
      </c>
      <c r="AG173" s="137">
        <f t="shared" si="49"/>
        <v>3116.297759</v>
      </c>
      <c r="AH173" s="138">
        <f t="shared" si="50"/>
        <v>0.27308045180929064</v>
      </c>
      <c r="AI173" s="138">
        <f t="shared" si="46"/>
        <v>0.13926782148675929</v>
      </c>
      <c r="AJ173" s="138">
        <f t="shared" si="47"/>
        <v>0.34624419212952368</v>
      </c>
    </row>
    <row r="174" spans="22:36">
      <c r="V174" s="141" t="s">
        <v>1111</v>
      </c>
      <c r="W174" s="149">
        <v>487</v>
      </c>
      <c r="X174" s="149">
        <v>2005</v>
      </c>
      <c r="Y174" s="149">
        <f t="shared" si="48"/>
        <v>4029.7112516254501</v>
      </c>
      <c r="Z174" s="150">
        <f t="shared" si="44"/>
        <v>0.12085233149237692</v>
      </c>
      <c r="AA174" s="150">
        <f t="shared" si="45"/>
        <v>0.49755426004561748</v>
      </c>
      <c r="AC174" s="29" t="s">
        <v>1116</v>
      </c>
      <c r="AD174" s="28">
        <v>1495</v>
      </c>
      <c r="AE174" s="136">
        <v>763</v>
      </c>
      <c r="AF174" s="136">
        <v>1896</v>
      </c>
      <c r="AG174" s="137">
        <f t="shared" si="49"/>
        <v>2715.2759799999999</v>
      </c>
      <c r="AH174" s="138">
        <f t="shared" si="50"/>
        <v>0.5505885998372807</v>
      </c>
      <c r="AI174" s="138">
        <f t="shared" si="46"/>
        <v>0.28100274359588301</v>
      </c>
      <c r="AJ174" s="138">
        <f t="shared" si="47"/>
        <v>0.69827156206788232</v>
      </c>
    </row>
    <row r="175" spans="22:36">
      <c r="V175" s="141" t="s">
        <v>1160</v>
      </c>
      <c r="W175" s="149">
        <v>20223</v>
      </c>
      <c r="X175" s="149">
        <v>20223</v>
      </c>
      <c r="Y175" s="149">
        <f t="shared" si="48"/>
        <v>43713.814124230797</v>
      </c>
      <c r="Z175" s="150">
        <f t="shared" si="44"/>
        <v>0.46262263783544533</v>
      </c>
      <c r="AA175" s="150">
        <f t="shared" si="45"/>
        <v>0.46262263783544533</v>
      </c>
      <c r="AC175" s="29" t="s">
        <v>1120</v>
      </c>
      <c r="AD175" s="28">
        <v>494</v>
      </c>
      <c r="AE175" s="136">
        <v>253</v>
      </c>
      <c r="AF175" s="136">
        <v>627</v>
      </c>
      <c r="AG175" s="137">
        <f t="shared" si="49"/>
        <v>1305.001031</v>
      </c>
      <c r="AH175" s="138">
        <f t="shared" si="50"/>
        <v>0.37854376223860625</v>
      </c>
      <c r="AI175" s="138">
        <f t="shared" si="46"/>
        <v>0.19386957863637119</v>
      </c>
      <c r="AJ175" s="138">
        <f t="shared" si="47"/>
        <v>0.48045939053361558</v>
      </c>
    </row>
    <row r="176" spans="22:36">
      <c r="V176" s="141" t="s">
        <v>155</v>
      </c>
      <c r="W176" s="149">
        <v>24283</v>
      </c>
      <c r="X176" s="149">
        <v>40112</v>
      </c>
      <c r="Y176" s="149">
        <f t="shared" si="48"/>
        <v>53106.536767216501</v>
      </c>
      <c r="Z176" s="150">
        <f t="shared" si="44"/>
        <v>0.45725067907252948</v>
      </c>
      <c r="AA176" s="150">
        <f t="shared" si="45"/>
        <v>0.75531191528877417</v>
      </c>
      <c r="AC176" s="29" t="s">
        <v>1122</v>
      </c>
      <c r="AD176" s="28">
        <v>698</v>
      </c>
      <c r="AE176" s="136">
        <v>356</v>
      </c>
      <c r="AF176" s="136">
        <v>885</v>
      </c>
      <c r="AG176" s="137">
        <f t="shared" si="49"/>
        <v>1316.7406570000001</v>
      </c>
      <c r="AH176" s="138">
        <f t="shared" si="50"/>
        <v>0.53009679338852522</v>
      </c>
      <c r="AI176" s="138">
        <f t="shared" si="46"/>
        <v>0.27036455364801576</v>
      </c>
      <c r="AJ176" s="138">
        <f t="shared" si="47"/>
        <v>0.67211412915307278</v>
      </c>
    </row>
    <row r="177" spans="22:27">
      <c r="V177" s="141" t="s">
        <v>334</v>
      </c>
      <c r="W177" s="149">
        <v>4548</v>
      </c>
      <c r="X177" s="149">
        <v>10147</v>
      </c>
      <c r="Y177" s="149">
        <f t="shared" si="48"/>
        <v>16973.689236471801</v>
      </c>
      <c r="Z177" s="150">
        <f t="shared" si="44"/>
        <v>0.26794410670766822</v>
      </c>
      <c r="AA177" s="150">
        <f t="shared" si="45"/>
        <v>0.59780757492583769</v>
      </c>
    </row>
    <row r="178" spans="22:27">
      <c r="V178" s="141" t="s">
        <v>1112</v>
      </c>
      <c r="W178" s="149">
        <v>138</v>
      </c>
      <c r="X178" s="149">
        <v>965</v>
      </c>
      <c r="Y178" s="149">
        <f t="shared" si="48"/>
        <v>2419.7187034548401</v>
      </c>
      <c r="Z178" s="150">
        <f t="shared" si="44"/>
        <v>5.7031422620722631E-2</v>
      </c>
      <c r="AA178" s="150">
        <f t="shared" si="45"/>
        <v>0.39880668716664736</v>
      </c>
    </row>
    <row r="179" spans="22:27">
      <c r="V179" s="141" t="s">
        <v>1161</v>
      </c>
      <c r="W179" s="149">
        <v>139</v>
      </c>
      <c r="X179" s="149">
        <v>1685</v>
      </c>
      <c r="Y179" s="149">
        <f t="shared" si="48"/>
        <v>2954.7745112565199</v>
      </c>
      <c r="Z179" s="150">
        <f t="shared" si="44"/>
        <v>4.7042506787054336E-2</v>
      </c>
      <c r="AA179" s="150">
        <f t="shared" si="45"/>
        <v>0.57026348155529893</v>
      </c>
    </row>
    <row r="180" spans="22:27">
      <c r="V180" s="141" t="s">
        <v>1162</v>
      </c>
      <c r="W180" s="149">
        <v>3724</v>
      </c>
      <c r="X180" s="149">
        <v>9151</v>
      </c>
      <c r="Y180" s="149">
        <f t="shared" si="48"/>
        <v>12457.7686017666</v>
      </c>
      <c r="Z180" s="150">
        <f t="shared" si="44"/>
        <v>0.2989299383415992</v>
      </c>
      <c r="AA180" s="150">
        <f t="shared" si="45"/>
        <v>0.73456172550053012</v>
      </c>
    </row>
    <row r="181" spans="22:27">
      <c r="V181" s="141" t="s">
        <v>1116</v>
      </c>
      <c r="W181" s="149">
        <v>144</v>
      </c>
      <c r="X181" s="149">
        <v>982</v>
      </c>
      <c r="Y181" s="149">
        <f t="shared" si="48"/>
        <v>1886.69017002501</v>
      </c>
      <c r="Z181" s="150">
        <f t="shared" si="44"/>
        <v>7.6324137522850999E-2</v>
      </c>
      <c r="AA181" s="150">
        <f t="shared" si="45"/>
        <v>0.52048821560722003</v>
      </c>
    </row>
    <row r="182" spans="22:27">
      <c r="V182" s="141" t="s">
        <v>1163</v>
      </c>
      <c r="W182" s="149">
        <v>83</v>
      </c>
      <c r="X182" s="149">
        <v>757</v>
      </c>
      <c r="Y182" s="149">
        <f t="shared" si="48"/>
        <v>1607.1521732589799</v>
      </c>
      <c r="Z182" s="150">
        <f t="shared" si="44"/>
        <v>5.1644145079113926E-2</v>
      </c>
      <c r="AA182" s="150">
        <f t="shared" si="45"/>
        <v>0.47101949186613545</v>
      </c>
    </row>
    <row r="183" spans="22:27">
      <c r="V183" s="141" t="s">
        <v>1120</v>
      </c>
      <c r="W183" s="149">
        <v>68</v>
      </c>
      <c r="X183" s="149">
        <v>768</v>
      </c>
      <c r="Y183" s="149">
        <f t="shared" si="48"/>
        <v>1878.3468105066099</v>
      </c>
      <c r="Z183" s="150">
        <f t="shared" si="44"/>
        <v>3.6202047257534772E-2</v>
      </c>
      <c r="AA183" s="150">
        <f t="shared" si="45"/>
        <v>0.40887018079098092</v>
      </c>
    </row>
    <row r="184" spans="22:27">
      <c r="V184" s="141" t="s">
        <v>1122</v>
      </c>
      <c r="W184" s="149">
        <v>21</v>
      </c>
      <c r="X184" s="149">
        <v>455</v>
      </c>
      <c r="Y184" s="149">
        <f t="shared" si="48"/>
        <v>1429.9984614667801</v>
      </c>
      <c r="Z184" s="150">
        <f t="shared" si="44"/>
        <v>1.4685330485222935E-2</v>
      </c>
      <c r="AA184" s="150">
        <f t="shared" si="45"/>
        <v>0.31818216051316361</v>
      </c>
    </row>
  </sheetData>
  <sheetProtection algorithmName="SHA-512" hashValue="hMA4aew4+9ha8a/ZZ0to5+7qpLhDuljDPj1q0q/roWmbfysICvg1RG2kSy6veaPZxWMUezioD2rTh9Ub70PYvQ==" saltValue="UDU5f/7AYilBNrWJ09N6EA==" spinCount="100000" sheet="1" objects="1" scenarios="1"/>
  <mergeCells count="5">
    <mergeCell ref="F1:G1"/>
    <mergeCell ref="V1:AA1"/>
    <mergeCell ref="D1:E1"/>
    <mergeCell ref="J1:T1"/>
    <mergeCell ref="AC1:AJ1"/>
  </mergeCells>
  <phoneticPr fontId="5" type="noConversion"/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513B-0CEB-4188-8AED-20BE676D573D}">
  <sheetPr codeName="Sheet11"/>
  <dimension ref="A1:BM230"/>
  <sheetViews>
    <sheetView zoomScale="90" zoomScaleNormal="90" workbookViewId="0">
      <pane ySplit="1" topLeftCell="A2" activePane="bottomLeft" state="frozen"/>
      <selection activeCell="Z64" sqref="Z64:AA184"/>
      <selection pane="bottomLeft" activeCell="BI3" sqref="BI3"/>
    </sheetView>
  </sheetViews>
  <sheetFormatPr baseColWidth="10" defaultColWidth="8.83203125" defaultRowHeight="13"/>
  <cols>
    <col min="1" max="1" width="38.33203125" style="1" bestFit="1" customWidth="1"/>
    <col min="2" max="41" width="9.83203125" style="1" hidden="1" customWidth="1"/>
    <col min="42" max="62" width="9.83203125" style="1" customWidth="1"/>
    <col min="63" max="16384" width="8.83203125" style="1"/>
  </cols>
  <sheetData>
    <row r="1" spans="1:62">
      <c r="A1" s="2" t="s">
        <v>1164</v>
      </c>
      <c r="B1" s="2">
        <v>1960</v>
      </c>
      <c r="C1" s="2">
        <v>1961</v>
      </c>
      <c r="D1" s="2">
        <v>1962</v>
      </c>
      <c r="E1" s="2">
        <v>1963</v>
      </c>
      <c r="F1" s="2">
        <v>1964</v>
      </c>
      <c r="G1" s="2">
        <v>1965</v>
      </c>
      <c r="H1" s="2">
        <v>1966</v>
      </c>
      <c r="I1" s="2">
        <v>1967</v>
      </c>
      <c r="J1" s="2">
        <v>1968</v>
      </c>
      <c r="K1" s="2">
        <v>1969</v>
      </c>
      <c r="L1" s="2">
        <v>1970</v>
      </c>
      <c r="M1" s="2">
        <v>1971</v>
      </c>
      <c r="N1" s="2">
        <v>1972</v>
      </c>
      <c r="O1" s="2">
        <v>1973</v>
      </c>
      <c r="P1" s="2">
        <v>1974</v>
      </c>
      <c r="Q1" s="2">
        <v>1975</v>
      </c>
      <c r="R1" s="2">
        <v>1976</v>
      </c>
      <c r="S1" s="2">
        <v>1977</v>
      </c>
      <c r="T1" s="2">
        <v>1978</v>
      </c>
      <c r="U1" s="2">
        <v>1979</v>
      </c>
      <c r="V1" s="2">
        <v>1980</v>
      </c>
      <c r="W1" s="2">
        <v>1981</v>
      </c>
      <c r="X1" s="2">
        <v>1982</v>
      </c>
      <c r="Y1" s="2">
        <v>1983</v>
      </c>
      <c r="Z1" s="2">
        <v>1984</v>
      </c>
      <c r="AA1" s="2">
        <v>1985</v>
      </c>
      <c r="AB1" s="2">
        <v>1986</v>
      </c>
      <c r="AC1" s="2">
        <v>1987</v>
      </c>
      <c r="AD1" s="2">
        <v>1988</v>
      </c>
      <c r="AE1" s="2">
        <v>1989</v>
      </c>
      <c r="AF1" s="2">
        <v>1990</v>
      </c>
      <c r="AG1" s="2">
        <v>1991</v>
      </c>
      <c r="AH1" s="2">
        <v>1992</v>
      </c>
      <c r="AI1" s="2">
        <v>1993</v>
      </c>
      <c r="AJ1" s="2">
        <v>1994</v>
      </c>
      <c r="AK1" s="2">
        <v>1995</v>
      </c>
      <c r="AL1" s="2">
        <v>1996</v>
      </c>
      <c r="AM1" s="2">
        <v>1997</v>
      </c>
      <c r="AN1" s="2">
        <v>1998</v>
      </c>
      <c r="AO1" s="2">
        <v>1999</v>
      </c>
      <c r="AP1" s="2">
        <v>2000</v>
      </c>
      <c r="AQ1" s="2">
        <v>2001</v>
      </c>
      <c r="AR1" s="2">
        <v>2002</v>
      </c>
      <c r="AS1" s="2">
        <v>2003</v>
      </c>
      <c r="AT1" s="2">
        <v>2004</v>
      </c>
      <c r="AU1" s="2">
        <v>2005</v>
      </c>
      <c r="AV1" s="2">
        <v>2006</v>
      </c>
      <c r="AW1" s="2">
        <v>2007</v>
      </c>
      <c r="AX1" s="2">
        <v>2008</v>
      </c>
      <c r="AY1" s="2">
        <v>2009</v>
      </c>
      <c r="AZ1" s="2">
        <v>2010</v>
      </c>
      <c r="BA1" s="2">
        <v>2011</v>
      </c>
      <c r="BB1" s="2">
        <v>2012</v>
      </c>
      <c r="BC1" s="2">
        <v>2013</v>
      </c>
      <c r="BD1" s="2">
        <v>2014</v>
      </c>
      <c r="BE1" s="2">
        <v>2015</v>
      </c>
      <c r="BF1" s="2">
        <v>2016</v>
      </c>
      <c r="BG1" s="2">
        <v>2017</v>
      </c>
      <c r="BH1" s="2">
        <v>2018</v>
      </c>
      <c r="BI1" s="2">
        <v>2019</v>
      </c>
      <c r="BJ1" s="2">
        <v>2020</v>
      </c>
    </row>
    <row r="2" spans="1:62">
      <c r="A2" s="1" t="s">
        <v>1165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4">
        <v>0</v>
      </c>
      <c r="S2" s="34">
        <v>0</v>
      </c>
      <c r="T2" s="34">
        <v>0</v>
      </c>
      <c r="U2" s="34">
        <v>0</v>
      </c>
      <c r="V2" s="34">
        <v>0</v>
      </c>
      <c r="W2" s="34">
        <v>0</v>
      </c>
      <c r="X2" s="34">
        <v>0</v>
      </c>
      <c r="Y2" s="34">
        <v>0</v>
      </c>
      <c r="Z2" s="34">
        <v>0</v>
      </c>
      <c r="AA2" s="34">
        <v>0</v>
      </c>
      <c r="AB2" s="34">
        <v>6472.3987090000001</v>
      </c>
      <c r="AC2" s="34">
        <v>7885.1589270000004</v>
      </c>
      <c r="AD2" s="34">
        <v>9765.9092070000006</v>
      </c>
      <c r="AE2" s="34">
        <v>11392.26915</v>
      </c>
      <c r="AF2" s="34">
        <v>12306.71768</v>
      </c>
      <c r="AG2" s="34">
        <v>13495.7943</v>
      </c>
      <c r="AH2" s="34">
        <v>14045.47457</v>
      </c>
      <c r="AI2" s="34">
        <v>14938.681570000001</v>
      </c>
      <c r="AJ2" s="34">
        <v>16239.98785</v>
      </c>
      <c r="AK2" s="34">
        <v>16439.356360000002</v>
      </c>
      <c r="AL2" s="34">
        <v>16583.87586</v>
      </c>
      <c r="AM2" s="34">
        <v>17927.959439999999</v>
      </c>
      <c r="AN2" s="34">
        <v>19077.687430000002</v>
      </c>
      <c r="AO2" s="34">
        <v>19355.33354</v>
      </c>
      <c r="AP2" s="34">
        <v>20617.750469999999</v>
      </c>
      <c r="AQ2" s="34">
        <v>20670.367010000002</v>
      </c>
      <c r="AR2" s="34">
        <v>20436.887129999999</v>
      </c>
      <c r="AS2" s="34">
        <v>20833.976360000001</v>
      </c>
      <c r="AT2" s="34">
        <v>22568.37499</v>
      </c>
      <c r="AU2" s="34">
        <v>23300.738359999999</v>
      </c>
      <c r="AV2" s="34">
        <v>24046.22638</v>
      </c>
      <c r="AW2" s="34">
        <v>25834.111779999999</v>
      </c>
      <c r="AX2" s="34">
        <v>27083.634859999998</v>
      </c>
      <c r="AY2" s="34">
        <v>24631.182049999999</v>
      </c>
      <c r="AZ2" s="34">
        <v>23513.527699999999</v>
      </c>
      <c r="BA2" s="34">
        <v>24985.013920000001</v>
      </c>
      <c r="BB2" s="34">
        <v>24712.493259999999</v>
      </c>
      <c r="BC2" s="34">
        <v>26441.619935737799</v>
      </c>
      <c r="BD2" s="34">
        <v>26893.01151</v>
      </c>
      <c r="BE2" s="34">
        <v>28396.90842</v>
      </c>
      <c r="BF2" s="34">
        <v>28452.170610000001</v>
      </c>
      <c r="BG2" s="34">
        <v>29350.80502</v>
      </c>
      <c r="BH2" s="34">
        <v>30253.27936</v>
      </c>
      <c r="BI2" s="34">
        <v>0</v>
      </c>
      <c r="BJ2" s="34">
        <v>0</v>
      </c>
    </row>
    <row r="3" spans="1:62">
      <c r="A3" s="1" t="s">
        <v>1002</v>
      </c>
      <c r="B3" s="34">
        <v>59.773233699999999</v>
      </c>
      <c r="C3" s="34">
        <v>59.86089999</v>
      </c>
      <c r="D3" s="34">
        <v>58.458008700000001</v>
      </c>
      <c r="E3" s="34">
        <v>78.706428779999996</v>
      </c>
      <c r="F3" s="34">
        <v>82.095306530000002</v>
      </c>
      <c r="G3" s="34">
        <v>101.1083252</v>
      </c>
      <c r="H3" s="34">
        <v>137.59429800000001</v>
      </c>
      <c r="I3" s="34">
        <v>160.8984342</v>
      </c>
      <c r="J3" s="34">
        <v>129.10831099999999</v>
      </c>
      <c r="K3" s="34">
        <v>129.3297604</v>
      </c>
      <c r="L3" s="34">
        <v>156.5187713</v>
      </c>
      <c r="M3" s="34">
        <v>159.567509</v>
      </c>
      <c r="N3" s="34">
        <v>135.317228</v>
      </c>
      <c r="O3" s="34">
        <v>143.14464950000001</v>
      </c>
      <c r="P3" s="34">
        <v>173.65362469999999</v>
      </c>
      <c r="Q3" s="34">
        <v>186.51083829999999</v>
      </c>
      <c r="R3" s="34">
        <v>197.44550760000001</v>
      </c>
      <c r="S3" s="34">
        <v>224.22500160000001</v>
      </c>
      <c r="T3" s="34">
        <v>247.3540878</v>
      </c>
      <c r="U3" s="34">
        <v>275.73811540000003</v>
      </c>
      <c r="V3" s="34">
        <v>272.65551019999998</v>
      </c>
      <c r="W3" s="34">
        <v>264.11119710000003</v>
      </c>
      <c r="X3" s="34">
        <v>0</v>
      </c>
      <c r="Y3" s="34">
        <v>0</v>
      </c>
      <c r="Z3" s="34">
        <v>0</v>
      </c>
      <c r="AA3" s="34">
        <v>0</v>
      </c>
      <c r="AB3" s="34">
        <v>0</v>
      </c>
      <c r="AC3" s="34">
        <v>0</v>
      </c>
      <c r="AD3" s="34">
        <v>0</v>
      </c>
      <c r="AE3" s="34">
        <v>0</v>
      </c>
      <c r="AF3" s="34">
        <v>0</v>
      </c>
      <c r="AG3" s="34">
        <v>0</v>
      </c>
      <c r="AH3" s="34">
        <v>0</v>
      </c>
      <c r="AI3" s="34">
        <v>0</v>
      </c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>
        <v>0</v>
      </c>
      <c r="AQ3" s="34">
        <v>0</v>
      </c>
      <c r="AR3" s="34">
        <v>179.42657919999999</v>
      </c>
      <c r="AS3" s="34">
        <v>190.68381429999999</v>
      </c>
      <c r="AT3" s="34">
        <v>211.38207420000001</v>
      </c>
      <c r="AU3" s="34">
        <v>242.0313132</v>
      </c>
      <c r="AV3" s="34">
        <v>263.7336019</v>
      </c>
      <c r="AW3" s="34">
        <v>359.69315790000002</v>
      </c>
      <c r="AX3" s="34">
        <v>364.66354200000001</v>
      </c>
      <c r="AY3" s="34">
        <v>437.26874020000002</v>
      </c>
      <c r="AZ3" s="34">
        <v>543.30652620000001</v>
      </c>
      <c r="BA3" s="34">
        <v>591.19003020000002</v>
      </c>
      <c r="BB3" s="34">
        <v>638.84585159999995</v>
      </c>
      <c r="BC3" s="34">
        <v>624.31545450661497</v>
      </c>
      <c r="BD3" s="34">
        <v>614.22334239999998</v>
      </c>
      <c r="BE3" s="34">
        <v>556.00722089999999</v>
      </c>
      <c r="BF3" s="34">
        <v>512.01277809999999</v>
      </c>
      <c r="BG3" s="34">
        <v>516.6798622</v>
      </c>
      <c r="BH3" s="34">
        <v>485.66841870000002</v>
      </c>
      <c r="BI3" s="34">
        <v>494.17934989999998</v>
      </c>
      <c r="BJ3" s="34">
        <v>516.74787079999999</v>
      </c>
    </row>
    <row r="4" spans="1:62">
      <c r="A4" s="1" t="s">
        <v>1004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711.40957860000003</v>
      </c>
      <c r="W4" s="34">
        <v>642.76819680000006</v>
      </c>
      <c r="X4" s="34">
        <v>620.33312339999998</v>
      </c>
      <c r="Y4" s="34">
        <v>623.81536240000003</v>
      </c>
      <c r="Z4" s="34">
        <v>638.09900679999998</v>
      </c>
      <c r="AA4" s="34">
        <v>758.7450632</v>
      </c>
      <c r="AB4" s="34">
        <v>685.72812769999996</v>
      </c>
      <c r="AC4" s="34">
        <v>756.76792620000003</v>
      </c>
      <c r="AD4" s="34">
        <v>792.83301719999997</v>
      </c>
      <c r="AE4" s="34">
        <v>891.14928029999999</v>
      </c>
      <c r="AF4" s="34">
        <v>948.33817799999997</v>
      </c>
      <c r="AG4" s="34">
        <v>0</v>
      </c>
      <c r="AH4" s="34">
        <v>0</v>
      </c>
      <c r="AI4" s="34">
        <v>0</v>
      </c>
      <c r="AJ4" s="34">
        <v>251.07834840000001</v>
      </c>
      <c r="AK4" s="34">
        <v>398.79099819999999</v>
      </c>
      <c r="AL4" s="34">
        <v>522.6796243</v>
      </c>
      <c r="AM4" s="34">
        <v>514.38517439999998</v>
      </c>
      <c r="AN4" s="34">
        <v>423.61904900000002</v>
      </c>
      <c r="AO4" s="34">
        <v>387.78512410000002</v>
      </c>
      <c r="AP4" s="34">
        <v>556.83863169999995</v>
      </c>
      <c r="AQ4" s="34">
        <v>527.33352850000006</v>
      </c>
      <c r="AR4" s="34">
        <v>872.4944418</v>
      </c>
      <c r="AS4" s="34">
        <v>982.96100779999995</v>
      </c>
      <c r="AT4" s="34">
        <v>1255.564513</v>
      </c>
      <c r="AU4" s="34">
        <v>1902.4221500000001</v>
      </c>
      <c r="AV4" s="34">
        <v>2599.5659479999999</v>
      </c>
      <c r="AW4" s="34">
        <v>3121.9960850000002</v>
      </c>
      <c r="AX4" s="34">
        <v>4080.9410339999999</v>
      </c>
      <c r="AY4" s="34">
        <v>3122.7815989999999</v>
      </c>
      <c r="AZ4" s="34">
        <v>3587.8836449999999</v>
      </c>
      <c r="BA4" s="34">
        <v>4615.4682190000003</v>
      </c>
      <c r="BB4" s="34">
        <v>5100.0970269999998</v>
      </c>
      <c r="BC4" s="34">
        <v>5254.8811260668299</v>
      </c>
      <c r="BD4" s="34">
        <v>5408.4116999999997</v>
      </c>
      <c r="BE4" s="34">
        <v>4166.9798330000003</v>
      </c>
      <c r="BF4" s="34">
        <v>3506.073128</v>
      </c>
      <c r="BG4" s="34">
        <v>4095.8100570000001</v>
      </c>
      <c r="BH4" s="34">
        <v>3289.6439949999999</v>
      </c>
      <c r="BI4" s="34">
        <v>2809.626088</v>
      </c>
      <c r="BJ4" s="34">
        <v>1776.166868</v>
      </c>
    </row>
    <row r="5" spans="1:62">
      <c r="A5" s="1" t="s">
        <v>1001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639.48473579999995</v>
      </c>
      <c r="AA5" s="34">
        <v>639.86590939999996</v>
      </c>
      <c r="AB5" s="34">
        <v>693.87347460000001</v>
      </c>
      <c r="AC5" s="34">
        <v>674.79338310000003</v>
      </c>
      <c r="AD5" s="34">
        <v>652.77432139999996</v>
      </c>
      <c r="AE5" s="34">
        <v>697.9955966</v>
      </c>
      <c r="AF5" s="34">
        <v>617.2304355</v>
      </c>
      <c r="AG5" s="34">
        <v>336.5869945</v>
      </c>
      <c r="AH5" s="34">
        <v>200.8522198</v>
      </c>
      <c r="AI5" s="34">
        <v>367.27922510000002</v>
      </c>
      <c r="AJ5" s="34">
        <v>586.41633960000001</v>
      </c>
      <c r="AK5" s="34">
        <v>750.60444919999998</v>
      </c>
      <c r="AL5" s="34">
        <v>1009.977275</v>
      </c>
      <c r="AM5" s="34">
        <v>717.38004769999998</v>
      </c>
      <c r="AN5" s="34">
        <v>813.78939660000003</v>
      </c>
      <c r="AO5" s="34">
        <v>1033.242532</v>
      </c>
      <c r="AP5" s="34">
        <v>1126.68334</v>
      </c>
      <c r="AQ5" s="34">
        <v>1281.6598260000001</v>
      </c>
      <c r="AR5" s="34">
        <v>1425.124219</v>
      </c>
      <c r="AS5" s="34">
        <v>1846.1201209999999</v>
      </c>
      <c r="AT5" s="34">
        <v>2373.5812919999998</v>
      </c>
      <c r="AU5" s="34">
        <v>2673.7865839999999</v>
      </c>
      <c r="AV5" s="34">
        <v>2972.7429240000001</v>
      </c>
      <c r="AW5" s="34">
        <v>3595.0380570000002</v>
      </c>
      <c r="AX5" s="34">
        <v>4370.539925</v>
      </c>
      <c r="AY5" s="34">
        <v>4114.1348989999997</v>
      </c>
      <c r="AZ5" s="34">
        <v>4094.3483860000001</v>
      </c>
      <c r="BA5" s="34">
        <v>4437.1426119999996</v>
      </c>
      <c r="BB5" s="34">
        <v>4247.6300469999996</v>
      </c>
      <c r="BC5" s="34">
        <v>4413.0620052890299</v>
      </c>
      <c r="BD5" s="34">
        <v>4578.6332080000002</v>
      </c>
      <c r="BE5" s="34">
        <v>3952.8025379999999</v>
      </c>
      <c r="BF5" s="34">
        <v>4124.0553900000004</v>
      </c>
      <c r="BG5" s="34">
        <v>4531.0193740000004</v>
      </c>
      <c r="BH5" s="34">
        <v>5287.6636939999999</v>
      </c>
      <c r="BI5" s="34">
        <v>5395.6595319999997</v>
      </c>
      <c r="BJ5" s="34">
        <v>5246.2923060000003</v>
      </c>
    </row>
    <row r="6" spans="1:62">
      <c r="A6" s="1" t="s">
        <v>1166</v>
      </c>
      <c r="B6" s="34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3238.6902610000002</v>
      </c>
      <c r="M6" s="34">
        <v>3496.5320230000002</v>
      </c>
      <c r="N6" s="34">
        <v>4218.2715989999997</v>
      </c>
      <c r="O6" s="34">
        <v>5342.1685600000001</v>
      </c>
      <c r="P6" s="34">
        <v>6320.8096320000004</v>
      </c>
      <c r="Q6" s="34">
        <v>7169.1010059999999</v>
      </c>
      <c r="R6" s="34">
        <v>7151.2499090000001</v>
      </c>
      <c r="S6" s="34">
        <v>7751.8433070000001</v>
      </c>
      <c r="T6" s="34">
        <v>9127.8122800000001</v>
      </c>
      <c r="U6" s="34">
        <v>11818.47334</v>
      </c>
      <c r="V6" s="34">
        <v>12378.784509999999</v>
      </c>
      <c r="W6" s="34">
        <v>10372.786050000001</v>
      </c>
      <c r="X6" s="34">
        <v>9610.0206159999998</v>
      </c>
      <c r="Y6" s="34">
        <v>8025.207641</v>
      </c>
      <c r="Z6" s="34">
        <v>7728.9066949999997</v>
      </c>
      <c r="AA6" s="34">
        <v>7775.6142170000003</v>
      </c>
      <c r="AB6" s="34">
        <v>10361.14777</v>
      </c>
      <c r="AC6" s="34">
        <v>12615.126179999999</v>
      </c>
      <c r="AD6" s="34">
        <v>14304.640600000001</v>
      </c>
      <c r="AE6" s="34">
        <v>15165.28126</v>
      </c>
      <c r="AF6" s="34">
        <v>18878.852309999998</v>
      </c>
      <c r="AG6" s="34">
        <v>19534.263630000001</v>
      </c>
      <c r="AH6" s="34">
        <v>20549.80558</v>
      </c>
      <c r="AI6" s="34">
        <v>16515.6584</v>
      </c>
      <c r="AJ6" s="34">
        <v>16235.06804</v>
      </c>
      <c r="AK6" s="34">
        <v>18458.173989999999</v>
      </c>
      <c r="AL6" s="34">
        <v>19016.288189999999</v>
      </c>
      <c r="AM6" s="34">
        <v>18355.627860000001</v>
      </c>
      <c r="AN6" s="34">
        <v>18895.110659999998</v>
      </c>
      <c r="AO6" s="34">
        <v>19262.308990000001</v>
      </c>
      <c r="AP6" s="34">
        <v>21854.246800000001</v>
      </c>
      <c r="AQ6" s="34">
        <v>22970.512210000001</v>
      </c>
      <c r="AR6" s="34">
        <v>25067.24006</v>
      </c>
      <c r="AS6" s="34">
        <v>32272.845890000001</v>
      </c>
      <c r="AT6" s="34">
        <v>37966.187250000003</v>
      </c>
      <c r="AU6" s="34">
        <v>40064.224929999997</v>
      </c>
      <c r="AV6" s="34">
        <v>42674.758970000003</v>
      </c>
      <c r="AW6" s="34">
        <v>47804.849929999997</v>
      </c>
      <c r="AX6" s="34">
        <v>48719.658770000002</v>
      </c>
      <c r="AY6" s="34">
        <v>43504.215649999998</v>
      </c>
      <c r="AZ6" s="34">
        <v>40850.248140000003</v>
      </c>
      <c r="BA6" s="34">
        <v>43334.811410000002</v>
      </c>
      <c r="BB6" s="34">
        <v>38686.461259999996</v>
      </c>
      <c r="BC6" s="34">
        <v>39540.724813746099</v>
      </c>
      <c r="BD6" s="34">
        <v>41303.929369999998</v>
      </c>
      <c r="BE6" s="34">
        <v>35770.776700000002</v>
      </c>
      <c r="BF6" s="34">
        <v>37475.635060000001</v>
      </c>
      <c r="BG6" s="34">
        <v>38964.904479999997</v>
      </c>
      <c r="BH6" s="34">
        <v>41791.969839999998</v>
      </c>
      <c r="BI6" s="34">
        <v>40897.330869999998</v>
      </c>
      <c r="BJ6" s="34">
        <v>0</v>
      </c>
    </row>
    <row r="7" spans="1:62">
      <c r="A7" s="1" t="s">
        <v>1167</v>
      </c>
      <c r="B7" s="34">
        <v>0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304.67161850000002</v>
      </c>
      <c r="K7" s="34">
        <v>322.76414870000002</v>
      </c>
      <c r="L7" s="34">
        <v>354.90652089999998</v>
      </c>
      <c r="M7" s="34">
        <v>398.87793720000002</v>
      </c>
      <c r="N7" s="34">
        <v>462.53421209999999</v>
      </c>
      <c r="O7" s="34">
        <v>570.94389939999996</v>
      </c>
      <c r="P7" s="34">
        <v>1052.253696</v>
      </c>
      <c r="Q7" s="34">
        <v>1129.4953270000001</v>
      </c>
      <c r="R7" s="34">
        <v>1363.0012449999999</v>
      </c>
      <c r="S7" s="34">
        <v>1524.251207</v>
      </c>
      <c r="T7" s="34">
        <v>1619.1559970000001</v>
      </c>
      <c r="U7" s="34">
        <v>2130.374761</v>
      </c>
      <c r="V7" s="34">
        <v>2791.4228389999998</v>
      </c>
      <c r="W7" s="34">
        <v>2797.9496920000001</v>
      </c>
      <c r="X7" s="34">
        <v>2546.86735</v>
      </c>
      <c r="Y7" s="34">
        <v>2322.1142359999999</v>
      </c>
      <c r="Z7" s="34">
        <v>2288.8248880000001</v>
      </c>
      <c r="AA7" s="34">
        <v>2216.7028890000001</v>
      </c>
      <c r="AB7" s="34">
        <v>2096.707586</v>
      </c>
      <c r="AC7" s="34">
        <v>2215.8322560000001</v>
      </c>
      <c r="AD7" s="34">
        <v>2042.774218</v>
      </c>
      <c r="AE7" s="34">
        <v>2095.8025739999998</v>
      </c>
      <c r="AF7" s="34">
        <v>2796.034482</v>
      </c>
      <c r="AG7" s="34">
        <v>1917.889844</v>
      </c>
      <c r="AH7" s="34">
        <v>2033.479936</v>
      </c>
      <c r="AI7" s="34">
        <v>2017.458392</v>
      </c>
      <c r="AJ7" s="34">
        <v>2068.2861600000001</v>
      </c>
      <c r="AK7" s="34">
        <v>2196.4560980000001</v>
      </c>
      <c r="AL7" s="34">
        <v>2370.8882979999998</v>
      </c>
      <c r="AM7" s="34">
        <v>2500.4556149999999</v>
      </c>
      <c r="AN7" s="34">
        <v>2381.4280669999998</v>
      </c>
      <c r="AO7" s="34">
        <v>2578.5083439999999</v>
      </c>
      <c r="AP7" s="34">
        <v>2889.5399229999998</v>
      </c>
      <c r="AQ7" s="34">
        <v>2767.8433180000002</v>
      </c>
      <c r="AR7" s="34">
        <v>2724.961174</v>
      </c>
      <c r="AS7" s="34">
        <v>2947.9309750000002</v>
      </c>
      <c r="AT7" s="34">
        <v>3430.1664839999999</v>
      </c>
      <c r="AU7" s="34">
        <v>4119.8615730000001</v>
      </c>
      <c r="AV7" s="34">
        <v>4753.6374230000001</v>
      </c>
      <c r="AW7" s="34">
        <v>5416.8454789999996</v>
      </c>
      <c r="AX7" s="34">
        <v>6659.898921</v>
      </c>
      <c r="AY7" s="34">
        <v>5694.5322990000004</v>
      </c>
      <c r="AZ7" s="34">
        <v>6488.1911849999997</v>
      </c>
      <c r="BA7" s="34">
        <v>6860.7976589999998</v>
      </c>
      <c r="BB7" s="34">
        <v>7347.0957200000003</v>
      </c>
      <c r="BC7" s="34">
        <v>7341.43290518503</v>
      </c>
      <c r="BD7" s="34">
        <v>7266.3344470000002</v>
      </c>
      <c r="BE7" s="34">
        <v>6191.4928760000003</v>
      </c>
      <c r="BF7" s="34">
        <v>5942.345112</v>
      </c>
      <c r="BG7" s="34">
        <v>5959.738018</v>
      </c>
      <c r="BH7" s="34">
        <v>6473.5495360000004</v>
      </c>
      <c r="BI7" s="34">
        <v>6458.0438780000004</v>
      </c>
      <c r="BJ7" s="34">
        <v>5586.7817830000004</v>
      </c>
    </row>
    <row r="8" spans="1:62">
      <c r="A8" s="1" t="s">
        <v>1168</v>
      </c>
      <c r="B8" s="34">
        <v>0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26848.088179999999</v>
      </c>
      <c r="R8" s="34">
        <v>30117.948929999999</v>
      </c>
      <c r="S8" s="34">
        <v>33823.181660000002</v>
      </c>
      <c r="T8" s="34">
        <v>28457.078030000001</v>
      </c>
      <c r="U8" s="34">
        <v>33512.633419999998</v>
      </c>
      <c r="V8" s="34">
        <v>42764.540560000001</v>
      </c>
      <c r="W8" s="34">
        <v>44987.537989999997</v>
      </c>
      <c r="X8" s="34">
        <v>40025.822619999999</v>
      </c>
      <c r="Y8" s="34">
        <v>34843.159630000002</v>
      </c>
      <c r="Z8" s="34">
        <v>32309.832709999999</v>
      </c>
      <c r="AA8" s="34">
        <v>29720.897720000001</v>
      </c>
      <c r="AB8" s="34">
        <v>23467.87932</v>
      </c>
      <c r="AC8" s="34">
        <v>23726.307049999999</v>
      </c>
      <c r="AD8" s="34">
        <v>22295.118709999999</v>
      </c>
      <c r="AE8" s="34">
        <v>24028.262500000001</v>
      </c>
      <c r="AF8" s="34">
        <v>27729.390589999999</v>
      </c>
      <c r="AG8" s="34">
        <v>26612.253110000001</v>
      </c>
      <c r="AH8" s="34">
        <v>26420.85988</v>
      </c>
      <c r="AI8" s="34">
        <v>25596.739389999999</v>
      </c>
      <c r="AJ8" s="34">
        <v>25848.016250000001</v>
      </c>
      <c r="AK8" s="34">
        <v>27221.934410000002</v>
      </c>
      <c r="AL8" s="34">
        <v>28975.079959999999</v>
      </c>
      <c r="AM8" s="34">
        <v>29512.674790000001</v>
      </c>
      <c r="AN8" s="34">
        <v>26899.601770000001</v>
      </c>
      <c r="AO8" s="34">
        <v>28470.885859999999</v>
      </c>
      <c r="AP8" s="34">
        <v>33291.366249999999</v>
      </c>
      <c r="AQ8" s="34">
        <v>31280.755860000001</v>
      </c>
      <c r="AR8" s="34">
        <v>31567.546310000002</v>
      </c>
      <c r="AS8" s="34">
        <v>33499.102780000001</v>
      </c>
      <c r="AT8" s="34">
        <v>36333.187330000001</v>
      </c>
      <c r="AU8" s="34">
        <v>39365.459640000001</v>
      </c>
      <c r="AV8" s="34">
        <v>41907.421470000001</v>
      </c>
      <c r="AW8" s="34">
        <v>41809.462160000003</v>
      </c>
      <c r="AX8" s="34">
        <v>44498.94051</v>
      </c>
      <c r="AY8" s="34">
        <v>32024.197779999999</v>
      </c>
      <c r="AZ8" s="34">
        <v>33893.263870000002</v>
      </c>
      <c r="BA8" s="34">
        <v>39194.67224</v>
      </c>
      <c r="BB8" s="34">
        <v>40976.490749999997</v>
      </c>
      <c r="BC8" s="34">
        <v>42412.639500270401</v>
      </c>
      <c r="BD8" s="34">
        <v>43751.805650000002</v>
      </c>
      <c r="BE8" s="34">
        <v>38663.400500000003</v>
      </c>
      <c r="BF8" s="34">
        <v>38141.867129999999</v>
      </c>
      <c r="BG8" s="34">
        <v>40644.791190000004</v>
      </c>
      <c r="BH8" s="34">
        <v>43839.324489999999</v>
      </c>
      <c r="BI8" s="34">
        <v>42701.443050000002</v>
      </c>
      <c r="BJ8" s="34">
        <v>36284.555240000002</v>
      </c>
    </row>
    <row r="9" spans="1:62">
      <c r="A9" s="1" t="s">
        <v>365</v>
      </c>
      <c r="B9" s="34">
        <v>0</v>
      </c>
      <c r="C9" s="34">
        <v>0</v>
      </c>
      <c r="D9" s="34">
        <v>1155.890717</v>
      </c>
      <c r="E9" s="34">
        <v>850.30457860000001</v>
      </c>
      <c r="F9" s="34">
        <v>1173.2381049999999</v>
      </c>
      <c r="G9" s="34">
        <v>1279.1137779999999</v>
      </c>
      <c r="H9" s="34">
        <v>1272.8032040000001</v>
      </c>
      <c r="I9" s="34">
        <v>1062.543412</v>
      </c>
      <c r="J9" s="34">
        <v>1141.080432</v>
      </c>
      <c r="K9" s="34">
        <v>1329.058546</v>
      </c>
      <c r="L9" s="34">
        <v>1322.5906379999999</v>
      </c>
      <c r="M9" s="34">
        <v>1372.374174</v>
      </c>
      <c r="N9" s="34">
        <v>1408.86538</v>
      </c>
      <c r="O9" s="34">
        <v>2097.0228299999999</v>
      </c>
      <c r="P9" s="34">
        <v>2844.863312</v>
      </c>
      <c r="Q9" s="34">
        <v>2027.3372019999999</v>
      </c>
      <c r="R9" s="34">
        <v>1948.224686</v>
      </c>
      <c r="S9" s="34">
        <v>2129.708361</v>
      </c>
      <c r="T9" s="34">
        <v>2146.364959</v>
      </c>
      <c r="U9" s="34">
        <v>2520.9207160000001</v>
      </c>
      <c r="V9" s="34">
        <v>2758.8348169999999</v>
      </c>
      <c r="W9" s="34">
        <v>2776.3220879999999</v>
      </c>
      <c r="X9" s="34">
        <v>2927.8973569999998</v>
      </c>
      <c r="Y9" s="34">
        <v>3553.3775089999999</v>
      </c>
      <c r="Z9" s="34">
        <v>2659.7082420000002</v>
      </c>
      <c r="AA9" s="34">
        <v>2926.1264849999998</v>
      </c>
      <c r="AB9" s="34">
        <v>3613.621709</v>
      </c>
      <c r="AC9" s="34">
        <v>3562.8760590000002</v>
      </c>
      <c r="AD9" s="34">
        <v>3985.1924690000001</v>
      </c>
      <c r="AE9" s="34">
        <v>2383.867471</v>
      </c>
      <c r="AF9" s="34">
        <v>4333.4833719999997</v>
      </c>
      <c r="AG9" s="34">
        <v>5735.3599809999996</v>
      </c>
      <c r="AH9" s="34">
        <v>6823.5388370000001</v>
      </c>
      <c r="AI9" s="34">
        <v>6969.119729</v>
      </c>
      <c r="AJ9" s="34">
        <v>7483.1403339999997</v>
      </c>
      <c r="AK9" s="34">
        <v>7408.7086639999998</v>
      </c>
      <c r="AL9" s="34">
        <v>7721.3541050000003</v>
      </c>
      <c r="AM9" s="34">
        <v>8213.1251269999993</v>
      </c>
      <c r="AN9" s="34">
        <v>8289.5075680000009</v>
      </c>
      <c r="AO9" s="34">
        <v>7774.7362030000004</v>
      </c>
      <c r="AP9" s="34">
        <v>7708.099115</v>
      </c>
      <c r="AQ9" s="34">
        <v>7208.373114</v>
      </c>
      <c r="AR9" s="34">
        <v>2593.4045630000001</v>
      </c>
      <c r="AS9" s="34">
        <v>3349.8063000000002</v>
      </c>
      <c r="AT9" s="34">
        <v>4277.7215729999998</v>
      </c>
      <c r="AU9" s="34">
        <v>5109.852245</v>
      </c>
      <c r="AV9" s="34">
        <v>5919.0123380000005</v>
      </c>
      <c r="AW9" s="34">
        <v>7245.4468569999999</v>
      </c>
      <c r="AX9" s="34">
        <v>9020.8733229999998</v>
      </c>
      <c r="AY9" s="34">
        <v>8225.1375829999997</v>
      </c>
      <c r="AZ9" s="34">
        <v>10385.96443</v>
      </c>
      <c r="BA9" s="34">
        <v>12848.8642</v>
      </c>
      <c r="BB9" s="34">
        <v>13082.66433</v>
      </c>
      <c r="BC9" s="34">
        <v>13080.2547323367</v>
      </c>
      <c r="BD9" s="34">
        <v>12334.79825</v>
      </c>
      <c r="BE9" s="34">
        <v>13789.06042</v>
      </c>
      <c r="BF9" s="34">
        <v>12790.242469999999</v>
      </c>
      <c r="BG9" s="34">
        <v>14613.04182</v>
      </c>
      <c r="BH9" s="34">
        <v>11795.159390000001</v>
      </c>
      <c r="BI9" s="34">
        <v>10056.637940000001</v>
      </c>
      <c r="BJ9" s="34">
        <v>8579.0177729999996</v>
      </c>
    </row>
    <row r="10" spans="1:62">
      <c r="A10" s="1" t="s">
        <v>1003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637.85592120000001</v>
      </c>
      <c r="AG10" s="34">
        <v>590.50587559999997</v>
      </c>
      <c r="AH10" s="34">
        <v>369.70723229999999</v>
      </c>
      <c r="AI10" s="34">
        <v>357.20284859999998</v>
      </c>
      <c r="AJ10" s="34">
        <v>400.51559379999998</v>
      </c>
      <c r="AK10" s="34">
        <v>456.37493330000001</v>
      </c>
      <c r="AL10" s="34">
        <v>504.05984260000002</v>
      </c>
      <c r="AM10" s="34">
        <v>523.28441069999997</v>
      </c>
      <c r="AN10" s="34">
        <v>609.17165369999998</v>
      </c>
      <c r="AO10" s="34">
        <v>597.43289879999998</v>
      </c>
      <c r="AP10" s="34">
        <v>622.74092289999999</v>
      </c>
      <c r="AQ10" s="34">
        <v>694.42345539999997</v>
      </c>
      <c r="AR10" s="34">
        <v>783.24121500000001</v>
      </c>
      <c r="AS10" s="34">
        <v>930.12547270000005</v>
      </c>
      <c r="AT10" s="34">
        <v>1191.921006</v>
      </c>
      <c r="AU10" s="34">
        <v>1643.756889</v>
      </c>
      <c r="AV10" s="34">
        <v>2158.1480740000002</v>
      </c>
      <c r="AW10" s="34">
        <v>3139.28071</v>
      </c>
      <c r="AX10" s="34">
        <v>4010.8613810000002</v>
      </c>
      <c r="AY10" s="34">
        <v>2994.340471</v>
      </c>
      <c r="AZ10" s="34">
        <v>3218.378299</v>
      </c>
      <c r="BA10" s="34">
        <v>3525.807198</v>
      </c>
      <c r="BB10" s="34">
        <v>3681.8446909999998</v>
      </c>
      <c r="BC10" s="34">
        <v>3838.17387997786</v>
      </c>
      <c r="BD10" s="34">
        <v>3986.231624</v>
      </c>
      <c r="BE10" s="34">
        <v>3607.289299</v>
      </c>
      <c r="BF10" s="34">
        <v>3591.8280519999998</v>
      </c>
      <c r="BG10" s="34">
        <v>3914.5278539999999</v>
      </c>
      <c r="BH10" s="34">
        <v>4220.5403210000004</v>
      </c>
      <c r="BI10" s="34">
        <v>4604.6463240000003</v>
      </c>
      <c r="BJ10" s="34">
        <v>4266.0180739999996</v>
      </c>
    </row>
    <row r="11" spans="1:62">
      <c r="A11" s="1" t="s">
        <v>1169</v>
      </c>
      <c r="B11" s="34">
        <v>0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8666.6553820000008</v>
      </c>
      <c r="AS11" s="34">
        <v>8807.4628119999998</v>
      </c>
      <c r="AT11" s="34">
        <v>8528.2487770000007</v>
      </c>
      <c r="AU11" s="34">
        <v>8395.3187699999999</v>
      </c>
      <c r="AV11" s="34">
        <v>8340.5234400000008</v>
      </c>
      <c r="AW11" s="34">
        <v>8874.8779279999999</v>
      </c>
      <c r="AX11" s="34">
        <v>9740.8244909999994</v>
      </c>
      <c r="AY11" s="34">
        <v>11910.01323</v>
      </c>
      <c r="AZ11" s="34">
        <v>10216.81763</v>
      </c>
      <c r="BA11" s="34">
        <v>10223.298360000001</v>
      </c>
      <c r="BB11" s="34">
        <v>11496.524100000001</v>
      </c>
      <c r="BC11" s="34">
        <v>11450.724195487899</v>
      </c>
      <c r="BD11" s="34">
        <v>11525.15639</v>
      </c>
      <c r="BE11" s="34">
        <v>12059.63516</v>
      </c>
      <c r="BF11" s="34">
        <v>12038.2497</v>
      </c>
      <c r="BG11" s="34">
        <v>11003.829760000001</v>
      </c>
      <c r="BH11" s="34">
        <v>11521.609780000001</v>
      </c>
      <c r="BI11" s="34">
        <v>11715.360140000001</v>
      </c>
      <c r="BJ11" s="34">
        <v>12844.90099</v>
      </c>
    </row>
    <row r="12" spans="1:62">
      <c r="A12" s="1" t="s">
        <v>1006</v>
      </c>
      <c r="B12" s="34">
        <v>0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1246.6901600000001</v>
      </c>
      <c r="T12" s="34">
        <v>1416.5405310000001</v>
      </c>
      <c r="U12" s="34">
        <v>1760.831324</v>
      </c>
      <c r="V12" s="34">
        <v>2124.6185260000002</v>
      </c>
      <c r="W12" s="34">
        <v>2392.6869579999998</v>
      </c>
      <c r="X12" s="34">
        <v>2660.5580909999999</v>
      </c>
      <c r="Y12" s="34">
        <v>2948.3172749999999</v>
      </c>
      <c r="Z12" s="34">
        <v>3372.6020699999999</v>
      </c>
      <c r="AA12" s="34">
        <v>3899.3918399999998</v>
      </c>
      <c r="AB12" s="34">
        <v>4703.1794010000003</v>
      </c>
      <c r="AC12" s="34">
        <v>5463.5953829999999</v>
      </c>
      <c r="AD12" s="34">
        <v>6454.8354509999999</v>
      </c>
      <c r="AE12" s="34">
        <v>7076.5363349999998</v>
      </c>
      <c r="AF12" s="34">
        <v>7347.646369</v>
      </c>
      <c r="AG12" s="34">
        <v>7602.3453339999996</v>
      </c>
      <c r="AH12" s="34">
        <v>7745.7218000000003</v>
      </c>
      <c r="AI12" s="34">
        <v>8136.1885469999997</v>
      </c>
      <c r="AJ12" s="34">
        <v>8771.1437270000006</v>
      </c>
      <c r="AK12" s="34">
        <v>8406.3589449999999</v>
      </c>
      <c r="AL12" s="34">
        <v>9030.5749780000006</v>
      </c>
      <c r="AM12" s="34">
        <v>9491.6607660000009</v>
      </c>
      <c r="AN12" s="34">
        <v>9940.8522279999997</v>
      </c>
      <c r="AO12" s="34">
        <v>10260.599410000001</v>
      </c>
      <c r="AP12" s="34">
        <v>10872.292949999999</v>
      </c>
      <c r="AQ12" s="34">
        <v>10367.31961</v>
      </c>
      <c r="AR12" s="34">
        <v>10401.050880000001</v>
      </c>
      <c r="AS12" s="34">
        <v>10797.951059999999</v>
      </c>
      <c r="AT12" s="34">
        <v>11446.969139999999</v>
      </c>
      <c r="AU12" s="34">
        <v>12557.547850000001</v>
      </c>
      <c r="AV12" s="34">
        <v>13995.80442</v>
      </c>
      <c r="AW12" s="34">
        <v>15622.692870000001</v>
      </c>
      <c r="AX12" s="34">
        <v>16044.105799999999</v>
      </c>
      <c r="AY12" s="34">
        <v>14160.562</v>
      </c>
      <c r="AZ12" s="34">
        <v>13048.960580000001</v>
      </c>
      <c r="BA12" s="34">
        <v>12746.633470000001</v>
      </c>
      <c r="BB12" s="34">
        <v>13272.73494</v>
      </c>
      <c r="BC12" s="34">
        <v>12910.590625594499</v>
      </c>
      <c r="BD12" s="34">
        <v>13501.58092</v>
      </c>
      <c r="BE12" s="34">
        <v>14285.32978</v>
      </c>
      <c r="BF12" s="34">
        <v>15198.742969999999</v>
      </c>
      <c r="BG12" s="34">
        <v>15383.5764</v>
      </c>
      <c r="BH12" s="34">
        <v>16679.591659999998</v>
      </c>
      <c r="BI12" s="34">
        <v>17376.649679999999</v>
      </c>
      <c r="BJ12" s="34">
        <v>13992.744479999999</v>
      </c>
    </row>
    <row r="13" spans="1:62">
      <c r="A13" s="1" t="s">
        <v>1009</v>
      </c>
      <c r="B13" s="34">
        <v>1810.61923</v>
      </c>
      <c r="C13" s="34">
        <v>1877.616638</v>
      </c>
      <c r="D13" s="34">
        <v>1854.6568339999999</v>
      </c>
      <c r="E13" s="34">
        <v>1967.1165370000001</v>
      </c>
      <c r="F13" s="34">
        <v>2131.3779479999998</v>
      </c>
      <c r="G13" s="34">
        <v>2281.0987970000001</v>
      </c>
      <c r="H13" s="34">
        <v>2343.9952899999998</v>
      </c>
      <c r="I13" s="34">
        <v>2580.2710959999999</v>
      </c>
      <c r="J13" s="34">
        <v>2724.372519</v>
      </c>
      <c r="K13" s="34">
        <v>2991.6071980000002</v>
      </c>
      <c r="L13" s="34">
        <v>3305.1263939999999</v>
      </c>
      <c r="M13" s="34">
        <v>3495.5792940000001</v>
      </c>
      <c r="N13" s="34">
        <v>3950.1708939999999</v>
      </c>
      <c r="O13" s="34">
        <v>4771.6719860000003</v>
      </c>
      <c r="P13" s="34">
        <v>6484.1198720000002</v>
      </c>
      <c r="Q13" s="34">
        <v>7005.9065879999998</v>
      </c>
      <c r="R13" s="34">
        <v>7489.5941599999996</v>
      </c>
      <c r="S13" s="34">
        <v>7778.1640079999997</v>
      </c>
      <c r="T13" s="34">
        <v>8255.7445430000007</v>
      </c>
      <c r="U13" s="34">
        <v>9297.3334169999998</v>
      </c>
      <c r="V13" s="34">
        <v>10211.83719</v>
      </c>
      <c r="W13" s="34">
        <v>11854.5885</v>
      </c>
      <c r="X13" s="34">
        <v>12788.549290000001</v>
      </c>
      <c r="Y13" s="34">
        <v>11538.39842</v>
      </c>
      <c r="Z13" s="34">
        <v>12454.551719999999</v>
      </c>
      <c r="AA13" s="34">
        <v>11459.17957</v>
      </c>
      <c r="AB13" s="34">
        <v>11384.938239999999</v>
      </c>
      <c r="AC13" s="34">
        <v>11645.452590000001</v>
      </c>
      <c r="AD13" s="34">
        <v>14279.159439999999</v>
      </c>
      <c r="AE13" s="34">
        <v>17828.04823</v>
      </c>
      <c r="AF13" s="34">
        <v>18243.471420000002</v>
      </c>
      <c r="AG13" s="34">
        <v>18855.761999999999</v>
      </c>
      <c r="AH13" s="34">
        <v>18604.188269999999</v>
      </c>
      <c r="AI13" s="34">
        <v>17667.187099999999</v>
      </c>
      <c r="AJ13" s="34">
        <v>18079.38018</v>
      </c>
      <c r="AK13" s="34">
        <v>20358.333360000001</v>
      </c>
      <c r="AL13" s="34">
        <v>21904.294119999999</v>
      </c>
      <c r="AM13" s="34">
        <v>23509.423470000002</v>
      </c>
      <c r="AN13" s="34">
        <v>21345.970990000002</v>
      </c>
      <c r="AO13" s="34">
        <v>20558.9604</v>
      </c>
      <c r="AP13" s="34">
        <v>21697.708480000001</v>
      </c>
      <c r="AQ13" s="34">
        <v>19527.32358</v>
      </c>
      <c r="AR13" s="34">
        <v>20117.78889</v>
      </c>
      <c r="AS13" s="34">
        <v>23492.405170000002</v>
      </c>
      <c r="AT13" s="34">
        <v>30513.941739999998</v>
      </c>
      <c r="AU13" s="34">
        <v>34080.999900000003</v>
      </c>
      <c r="AV13" s="34">
        <v>36117.487979999998</v>
      </c>
      <c r="AW13" s="34">
        <v>41001.142979999997</v>
      </c>
      <c r="AX13" s="34">
        <v>49654.910600000003</v>
      </c>
      <c r="AY13" s="34">
        <v>42783.322569999997</v>
      </c>
      <c r="AZ13" s="34">
        <v>52087.972289999998</v>
      </c>
      <c r="BA13" s="34">
        <v>62574.145700000001</v>
      </c>
      <c r="BB13" s="34">
        <v>68027.841709999993</v>
      </c>
      <c r="BC13" s="34">
        <v>68156.627916208497</v>
      </c>
      <c r="BD13" s="34">
        <v>62511.690589999998</v>
      </c>
      <c r="BE13" s="34">
        <v>56707.022080000002</v>
      </c>
      <c r="BF13" s="34">
        <v>49881.763709999999</v>
      </c>
      <c r="BG13" s="34">
        <v>53934.250180000003</v>
      </c>
      <c r="BH13" s="34">
        <v>57180.779399999999</v>
      </c>
      <c r="BI13" s="34">
        <v>54875.285960000001</v>
      </c>
      <c r="BJ13" s="34">
        <v>51692.842750000003</v>
      </c>
    </row>
    <row r="14" spans="1:62">
      <c r="A14" s="1" t="s">
        <v>1011</v>
      </c>
      <c r="B14" s="34">
        <v>935.46042690000002</v>
      </c>
      <c r="C14" s="34">
        <v>1031.815004</v>
      </c>
      <c r="D14" s="34">
        <v>1087.834243</v>
      </c>
      <c r="E14" s="34">
        <v>1167.000532</v>
      </c>
      <c r="F14" s="34">
        <v>1269.412583</v>
      </c>
      <c r="G14" s="34">
        <v>1374.53214</v>
      </c>
      <c r="H14" s="34">
        <v>1486.9686059999999</v>
      </c>
      <c r="I14" s="34">
        <v>1569.667183</v>
      </c>
      <c r="J14" s="34">
        <v>1677.673528</v>
      </c>
      <c r="K14" s="34">
        <v>1825.3861260000001</v>
      </c>
      <c r="L14" s="34">
        <v>2058.7690510000002</v>
      </c>
      <c r="M14" s="34">
        <v>2380.978458</v>
      </c>
      <c r="N14" s="34">
        <v>2924.0488789999999</v>
      </c>
      <c r="O14" s="34">
        <v>3890.7224190000002</v>
      </c>
      <c r="P14" s="34">
        <v>4630.7571969999999</v>
      </c>
      <c r="Q14" s="34">
        <v>5285.6207240000003</v>
      </c>
      <c r="R14" s="34">
        <v>5678.3866580000004</v>
      </c>
      <c r="S14" s="34">
        <v>6810.6276850000004</v>
      </c>
      <c r="T14" s="34">
        <v>8205.4689770000005</v>
      </c>
      <c r="U14" s="34">
        <v>9793.7653480000008</v>
      </c>
      <c r="V14" s="34">
        <v>10869.546490000001</v>
      </c>
      <c r="W14" s="34">
        <v>9385.2490639999996</v>
      </c>
      <c r="X14" s="34">
        <v>9410.3472569999994</v>
      </c>
      <c r="Y14" s="34">
        <v>9537.4074199999995</v>
      </c>
      <c r="Z14" s="34">
        <v>8991.0650399999995</v>
      </c>
      <c r="AA14" s="34">
        <v>9172.0967600000004</v>
      </c>
      <c r="AB14" s="34">
        <v>13083.07266</v>
      </c>
      <c r="AC14" s="34">
        <v>16392.769520000002</v>
      </c>
      <c r="AD14" s="34">
        <v>17578.61894</v>
      </c>
      <c r="AE14" s="34">
        <v>17468.94614</v>
      </c>
      <c r="AF14" s="34">
        <v>21680.98962</v>
      </c>
      <c r="AG14" s="34">
        <v>22410.911769999999</v>
      </c>
      <c r="AH14" s="34">
        <v>24880.164120000001</v>
      </c>
      <c r="AI14" s="34">
        <v>24081.52779</v>
      </c>
      <c r="AJ14" s="34">
        <v>25646.700659999999</v>
      </c>
      <c r="AK14" s="34">
        <v>30325.849579999998</v>
      </c>
      <c r="AL14" s="34">
        <v>29809.07677</v>
      </c>
      <c r="AM14" s="34">
        <v>26705.478599999999</v>
      </c>
      <c r="AN14" s="34">
        <v>27361.875110000001</v>
      </c>
      <c r="AO14" s="34">
        <v>27174.297159999998</v>
      </c>
      <c r="AP14" s="34">
        <v>24564.458289999999</v>
      </c>
      <c r="AQ14" s="34">
        <v>24537.51426</v>
      </c>
      <c r="AR14" s="34">
        <v>26401.745459999998</v>
      </c>
      <c r="AS14" s="34">
        <v>32222.897239999998</v>
      </c>
      <c r="AT14" s="34">
        <v>36821.52147</v>
      </c>
      <c r="AU14" s="34">
        <v>38403.133880000001</v>
      </c>
      <c r="AV14" s="34">
        <v>40635.281819999997</v>
      </c>
      <c r="AW14" s="34">
        <v>46855.77175</v>
      </c>
      <c r="AX14" s="34">
        <v>51708.765749999999</v>
      </c>
      <c r="AY14" s="34">
        <v>47963.179400000001</v>
      </c>
      <c r="AZ14" s="34">
        <v>46858.043270000002</v>
      </c>
      <c r="BA14" s="34">
        <v>51374.958409999999</v>
      </c>
      <c r="BB14" s="34">
        <v>48567.695290000003</v>
      </c>
      <c r="BC14" s="34">
        <v>50716.708706286401</v>
      </c>
      <c r="BD14" s="34">
        <v>51717.495940000001</v>
      </c>
      <c r="BE14" s="34">
        <v>44178.047380000004</v>
      </c>
      <c r="BF14" s="34">
        <v>45276.831440000002</v>
      </c>
      <c r="BG14" s="34">
        <v>47312.006229999999</v>
      </c>
      <c r="BH14" s="34">
        <v>51461.433219999999</v>
      </c>
      <c r="BI14" s="34">
        <v>50114.401109999999</v>
      </c>
      <c r="BJ14" s="34">
        <v>48586.801319999999</v>
      </c>
    </row>
    <row r="15" spans="1:62">
      <c r="A15" s="1" t="s">
        <v>1005</v>
      </c>
      <c r="B15" s="34">
        <v>0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60.458213579999999</v>
      </c>
      <c r="AI15" s="34">
        <v>209.4785718</v>
      </c>
      <c r="AJ15" s="34">
        <v>157.0860591</v>
      </c>
      <c r="AK15" s="34">
        <v>314.56122629999999</v>
      </c>
      <c r="AL15" s="34">
        <v>409.16318910000001</v>
      </c>
      <c r="AM15" s="34">
        <v>505.50034929999998</v>
      </c>
      <c r="AN15" s="34">
        <v>561.90680789999999</v>
      </c>
      <c r="AO15" s="34">
        <v>573.91651230000002</v>
      </c>
      <c r="AP15" s="34">
        <v>655.11994519999996</v>
      </c>
      <c r="AQ15" s="34">
        <v>703.6838434</v>
      </c>
      <c r="AR15" s="34">
        <v>763.08063800000002</v>
      </c>
      <c r="AS15" s="34">
        <v>883.73397150000005</v>
      </c>
      <c r="AT15" s="34">
        <v>1045.0093790000001</v>
      </c>
      <c r="AU15" s="34">
        <v>1578.40239</v>
      </c>
      <c r="AV15" s="34">
        <v>2473.081819</v>
      </c>
      <c r="AW15" s="34">
        <v>3851.4378689999999</v>
      </c>
      <c r="AX15" s="34">
        <v>5574.6038019999996</v>
      </c>
      <c r="AY15" s="34">
        <v>4950.2947910000003</v>
      </c>
      <c r="AZ15" s="34">
        <v>5843.5337680000002</v>
      </c>
      <c r="BA15" s="34">
        <v>7189.691229</v>
      </c>
      <c r="BB15" s="34">
        <v>7496.2946480000001</v>
      </c>
      <c r="BC15" s="34">
        <v>7875.7569525428798</v>
      </c>
      <c r="BD15" s="34">
        <v>7891.3131469999998</v>
      </c>
      <c r="BE15" s="34">
        <v>5500.3103819999997</v>
      </c>
      <c r="BF15" s="34">
        <v>3880.7387309999999</v>
      </c>
      <c r="BG15" s="34">
        <v>4147.0897160000004</v>
      </c>
      <c r="BH15" s="34">
        <v>4739.8417099999997</v>
      </c>
      <c r="BI15" s="34">
        <v>4805.7537179999999</v>
      </c>
      <c r="BJ15" s="34">
        <v>4221.4074780000001</v>
      </c>
    </row>
    <row r="16" spans="1:62">
      <c r="A16" s="1" t="s">
        <v>1019</v>
      </c>
      <c r="B16" s="34">
        <v>70.051909899999998</v>
      </c>
      <c r="C16" s="34">
        <v>71.167188210000006</v>
      </c>
      <c r="D16" s="34">
        <v>73.435330820000004</v>
      </c>
      <c r="E16" s="34">
        <v>78.514620750000006</v>
      </c>
      <c r="F16" s="34">
        <v>86.16154951</v>
      </c>
      <c r="G16" s="34">
        <v>51.38188126</v>
      </c>
      <c r="H16" s="34">
        <v>52.182551699999998</v>
      </c>
      <c r="I16" s="34">
        <v>54.806443119999997</v>
      </c>
      <c r="J16" s="34">
        <v>54.90076208</v>
      </c>
      <c r="K16" s="34">
        <v>55.714933899999998</v>
      </c>
      <c r="L16" s="34">
        <v>69.769384180000003</v>
      </c>
      <c r="M16" s="34">
        <v>71.626709829999996</v>
      </c>
      <c r="N16" s="34">
        <v>69.139614730000005</v>
      </c>
      <c r="O16" s="34">
        <v>84.418782050000004</v>
      </c>
      <c r="P16" s="34">
        <v>94.685399540000006</v>
      </c>
      <c r="Q16" s="34">
        <v>113.7531561</v>
      </c>
      <c r="R16" s="34">
        <v>118.9149331</v>
      </c>
      <c r="S16" s="34">
        <v>142.05298389999999</v>
      </c>
      <c r="T16" s="34">
        <v>154.51627329999999</v>
      </c>
      <c r="U16" s="34">
        <v>193.14996389999999</v>
      </c>
      <c r="V16" s="34">
        <v>221.23194179999999</v>
      </c>
      <c r="W16" s="34">
        <v>227.12812</v>
      </c>
      <c r="X16" s="34">
        <v>231.34369380000001</v>
      </c>
      <c r="Y16" s="34">
        <v>240.78170320000001</v>
      </c>
      <c r="Z16" s="34">
        <v>213.6168414</v>
      </c>
      <c r="AA16" s="34">
        <v>242.05850380000001</v>
      </c>
      <c r="AB16" s="34">
        <v>245.91532749999999</v>
      </c>
      <c r="AC16" s="34">
        <v>225.0714758</v>
      </c>
      <c r="AD16" s="34">
        <v>209.41486080000001</v>
      </c>
      <c r="AE16" s="34">
        <v>209.89441260000001</v>
      </c>
      <c r="AF16" s="34">
        <v>208.14667890000001</v>
      </c>
      <c r="AG16" s="34">
        <v>209.77801099999999</v>
      </c>
      <c r="AH16" s="34">
        <v>190.4888799</v>
      </c>
      <c r="AI16" s="34">
        <v>161.88752500000001</v>
      </c>
      <c r="AJ16" s="34">
        <v>156.81238099999999</v>
      </c>
      <c r="AK16" s="34">
        <v>167.0988878</v>
      </c>
      <c r="AL16" s="34">
        <v>143.4023238</v>
      </c>
      <c r="AM16" s="34">
        <v>158.91466990000001</v>
      </c>
      <c r="AN16" s="34">
        <v>144.49301729999999</v>
      </c>
      <c r="AO16" s="34">
        <v>128.93891869999999</v>
      </c>
      <c r="AP16" s="34">
        <v>136.4639708</v>
      </c>
      <c r="AQ16" s="34">
        <v>134.36342690000001</v>
      </c>
      <c r="AR16" s="34">
        <v>123.1175361</v>
      </c>
      <c r="AS16" s="34">
        <v>113.5672513</v>
      </c>
      <c r="AT16" s="34">
        <v>128.33670280000001</v>
      </c>
      <c r="AU16" s="34">
        <v>151.68156629999999</v>
      </c>
      <c r="AV16" s="34">
        <v>167.3764625</v>
      </c>
      <c r="AW16" s="34">
        <v>172.4955966</v>
      </c>
      <c r="AX16" s="34">
        <v>198.3528517</v>
      </c>
      <c r="AY16" s="34">
        <v>212.13705719999999</v>
      </c>
      <c r="AZ16" s="34">
        <v>234.23553889999999</v>
      </c>
      <c r="BA16" s="34">
        <v>249.5779794</v>
      </c>
      <c r="BB16" s="34">
        <v>252.35887070000001</v>
      </c>
      <c r="BC16" s="34">
        <v>256.97565263089598</v>
      </c>
      <c r="BD16" s="34">
        <v>274.85783620000001</v>
      </c>
      <c r="BE16" s="34">
        <v>305.54965249999998</v>
      </c>
      <c r="BF16" s="34">
        <v>260.56522080000002</v>
      </c>
      <c r="BG16" s="34">
        <v>253.8263541</v>
      </c>
      <c r="BH16" s="34">
        <v>238.783467</v>
      </c>
      <c r="BI16" s="34">
        <v>228.2135892</v>
      </c>
      <c r="BJ16" s="34">
        <v>238.9907259</v>
      </c>
    </row>
    <row r="17" spans="1:62">
      <c r="A17" s="1" t="s">
        <v>1017</v>
      </c>
      <c r="B17" s="34">
        <v>1273.6916590000001</v>
      </c>
      <c r="C17" s="34">
        <v>1350.1976729999999</v>
      </c>
      <c r="D17" s="34">
        <v>1438.5232329999999</v>
      </c>
      <c r="E17" s="34">
        <v>1535.023729</v>
      </c>
      <c r="F17" s="34">
        <v>1701.846276</v>
      </c>
      <c r="G17" s="34">
        <v>1835.5947659999999</v>
      </c>
      <c r="H17" s="34">
        <v>1957.62608</v>
      </c>
      <c r="I17" s="34">
        <v>2086.6360049999998</v>
      </c>
      <c r="J17" s="34">
        <v>2222.3615110000001</v>
      </c>
      <c r="K17" s="34">
        <v>2458.0818199999999</v>
      </c>
      <c r="L17" s="34">
        <v>2765.890997</v>
      </c>
      <c r="M17" s="34">
        <v>3082.9279889999998</v>
      </c>
      <c r="N17" s="34">
        <v>3831.6318999999999</v>
      </c>
      <c r="O17" s="34">
        <v>4900.9622010000003</v>
      </c>
      <c r="P17" s="34">
        <v>5733.7981390000004</v>
      </c>
      <c r="Q17" s="34">
        <v>6701.3773609999998</v>
      </c>
      <c r="R17" s="34">
        <v>7243.0473410000004</v>
      </c>
      <c r="S17" s="34">
        <v>8426.9469590000008</v>
      </c>
      <c r="T17" s="34">
        <v>10289.76842</v>
      </c>
      <c r="U17" s="34">
        <v>11810.615879999999</v>
      </c>
      <c r="V17" s="34">
        <v>12864.002570000001</v>
      </c>
      <c r="W17" s="34">
        <v>10622.80248</v>
      </c>
      <c r="X17" s="34">
        <v>9343.8611000000001</v>
      </c>
      <c r="Y17" s="34">
        <v>8846.2342979999994</v>
      </c>
      <c r="Z17" s="34">
        <v>8457.2688030000008</v>
      </c>
      <c r="AA17" s="34">
        <v>8750.8185130000002</v>
      </c>
      <c r="AB17" s="34">
        <v>12170.0407</v>
      </c>
      <c r="AC17" s="34">
        <v>15135.85231</v>
      </c>
      <c r="AD17" s="34">
        <v>16391.093830000002</v>
      </c>
      <c r="AE17" s="34">
        <v>16525.061740000001</v>
      </c>
      <c r="AF17" s="34">
        <v>20600.37528</v>
      </c>
      <c r="AG17" s="34">
        <v>21041.660650000002</v>
      </c>
      <c r="AH17" s="34">
        <v>23372.619170000002</v>
      </c>
      <c r="AI17" s="34">
        <v>22283.936020000001</v>
      </c>
      <c r="AJ17" s="34">
        <v>24208.554789999998</v>
      </c>
      <c r="AK17" s="34">
        <v>28413.826440000001</v>
      </c>
      <c r="AL17" s="34">
        <v>27489.555179999999</v>
      </c>
      <c r="AM17" s="34">
        <v>24820.938050000001</v>
      </c>
      <c r="AN17" s="34">
        <v>25338.443289999999</v>
      </c>
      <c r="AO17" s="34">
        <v>25244.27505</v>
      </c>
      <c r="AP17" s="34">
        <v>23041.534729999999</v>
      </c>
      <c r="AQ17" s="34">
        <v>22995.157520000001</v>
      </c>
      <c r="AR17" s="34">
        <v>24887.56133</v>
      </c>
      <c r="AS17" s="34">
        <v>30587.668409999998</v>
      </c>
      <c r="AT17" s="34">
        <v>35364.375330000003</v>
      </c>
      <c r="AU17" s="34">
        <v>36795.976880000002</v>
      </c>
      <c r="AV17" s="34">
        <v>38672.70594</v>
      </c>
      <c r="AW17" s="34">
        <v>44262.896000000001</v>
      </c>
      <c r="AX17" s="34">
        <v>48106.892919999998</v>
      </c>
      <c r="AY17" s="34">
        <v>44583.544809999999</v>
      </c>
      <c r="AZ17" s="34">
        <v>44141.878140000001</v>
      </c>
      <c r="BA17" s="34">
        <v>47348.525020000001</v>
      </c>
      <c r="BB17" s="34">
        <v>44673.115879999998</v>
      </c>
      <c r="BC17" s="34">
        <v>46744.662544151601</v>
      </c>
      <c r="BD17" s="34">
        <v>47700.540359999999</v>
      </c>
      <c r="BE17" s="34">
        <v>40991.808140000001</v>
      </c>
      <c r="BF17" s="34">
        <v>41984.103029999998</v>
      </c>
      <c r="BG17" s="34">
        <v>44089.310089999999</v>
      </c>
      <c r="BH17" s="34">
        <v>47519.553099999997</v>
      </c>
      <c r="BI17" s="34">
        <v>46591.491609999997</v>
      </c>
      <c r="BJ17" s="34">
        <v>45159.34822</v>
      </c>
    </row>
    <row r="18" spans="1:62">
      <c r="A18" s="1" t="s">
        <v>1012</v>
      </c>
      <c r="B18" s="34">
        <v>93.022700270000001</v>
      </c>
      <c r="C18" s="34">
        <v>95.572232229999997</v>
      </c>
      <c r="D18" s="34">
        <v>94.46449724</v>
      </c>
      <c r="E18" s="34">
        <v>99.858917529999999</v>
      </c>
      <c r="F18" s="34">
        <v>104.3399294</v>
      </c>
      <c r="G18" s="34">
        <v>110.1325846</v>
      </c>
      <c r="H18" s="34">
        <v>112.94083639999999</v>
      </c>
      <c r="I18" s="34">
        <v>111.951561</v>
      </c>
      <c r="J18" s="34">
        <v>116.8951498</v>
      </c>
      <c r="K18" s="34">
        <v>116.0252571</v>
      </c>
      <c r="L18" s="34">
        <v>114.55667510000001</v>
      </c>
      <c r="M18" s="34">
        <v>112.56997560000001</v>
      </c>
      <c r="N18" s="34">
        <v>134.81958510000001</v>
      </c>
      <c r="O18" s="34">
        <v>161.98706150000001</v>
      </c>
      <c r="P18" s="34">
        <v>174.0140945</v>
      </c>
      <c r="Q18" s="34">
        <v>207.3003128</v>
      </c>
      <c r="R18" s="34">
        <v>208.6564032</v>
      </c>
      <c r="S18" s="34">
        <v>218.45398399999999</v>
      </c>
      <c r="T18" s="34">
        <v>263.58143150000001</v>
      </c>
      <c r="U18" s="34">
        <v>327.8223122</v>
      </c>
      <c r="V18" s="34">
        <v>378.04430509999997</v>
      </c>
      <c r="W18" s="34">
        <v>337.97837170000003</v>
      </c>
      <c r="X18" s="34">
        <v>322.77745290000001</v>
      </c>
      <c r="Y18" s="34">
        <v>271.12984419999998</v>
      </c>
      <c r="Z18" s="34">
        <v>252.86978500000001</v>
      </c>
      <c r="AA18" s="34">
        <v>244.4109417</v>
      </c>
      <c r="AB18" s="34">
        <v>303.34903559999998</v>
      </c>
      <c r="AC18" s="34">
        <v>344.50314680000002</v>
      </c>
      <c r="AD18" s="34">
        <v>346.7366313</v>
      </c>
      <c r="AE18" s="34">
        <v>311.67804519999999</v>
      </c>
      <c r="AF18" s="34">
        <v>393.68676799999997</v>
      </c>
      <c r="AG18" s="34">
        <v>385.75384070000001</v>
      </c>
      <c r="AH18" s="34">
        <v>317.96273600000001</v>
      </c>
      <c r="AI18" s="34">
        <v>411.92617969999998</v>
      </c>
      <c r="AJ18" s="34">
        <v>279.66674899999998</v>
      </c>
      <c r="AK18" s="34">
        <v>367.38771430000003</v>
      </c>
      <c r="AL18" s="34">
        <v>387.43209819999998</v>
      </c>
      <c r="AM18" s="34">
        <v>361.09998239999999</v>
      </c>
      <c r="AN18" s="34">
        <v>379.44176750000003</v>
      </c>
      <c r="AO18" s="34">
        <v>551.82142940000006</v>
      </c>
      <c r="AP18" s="34">
        <v>512.673902</v>
      </c>
      <c r="AQ18" s="34">
        <v>518.06747410000003</v>
      </c>
      <c r="AR18" s="34">
        <v>574.92979820000005</v>
      </c>
      <c r="AS18" s="34">
        <v>711.28495480000004</v>
      </c>
      <c r="AT18" s="34">
        <v>798.7443045</v>
      </c>
      <c r="AU18" s="34">
        <v>822.78514310000003</v>
      </c>
      <c r="AV18" s="34">
        <v>856.05491659999996</v>
      </c>
      <c r="AW18" s="34">
        <v>966.20361830000002</v>
      </c>
      <c r="AX18" s="34">
        <v>1125.426134</v>
      </c>
      <c r="AY18" s="34">
        <v>1088.757906</v>
      </c>
      <c r="AZ18" s="34">
        <v>1036.5345150000001</v>
      </c>
      <c r="BA18" s="34">
        <v>1130.2732510000001</v>
      </c>
      <c r="BB18" s="34">
        <v>1145.1401049999999</v>
      </c>
      <c r="BC18" s="34">
        <v>1251.2097674537899</v>
      </c>
      <c r="BD18" s="34">
        <v>1291.410185</v>
      </c>
      <c r="BE18" s="34">
        <v>1076.7966980000001</v>
      </c>
      <c r="BF18" s="34">
        <v>1087.287331</v>
      </c>
      <c r="BG18" s="34">
        <v>1136.5938719999999</v>
      </c>
      <c r="BH18" s="34">
        <v>1241.825298</v>
      </c>
      <c r="BI18" s="34">
        <v>1219.515506</v>
      </c>
      <c r="BJ18" s="34">
        <v>1291.040972</v>
      </c>
    </row>
    <row r="19" spans="1:62">
      <c r="A19" s="1" t="s">
        <v>1018</v>
      </c>
      <c r="B19" s="34">
        <v>68.424734400000006</v>
      </c>
      <c r="C19" s="34">
        <v>71.558180089999993</v>
      </c>
      <c r="D19" s="34">
        <v>76.520549310000007</v>
      </c>
      <c r="E19" s="34">
        <v>78.372195829999995</v>
      </c>
      <c r="F19" s="34">
        <v>80.472718119999996</v>
      </c>
      <c r="G19" s="34">
        <v>81.725052320000003</v>
      </c>
      <c r="H19" s="34">
        <v>82.545684010000002</v>
      </c>
      <c r="I19" s="34">
        <v>84.363070199999996</v>
      </c>
      <c r="J19" s="34">
        <v>84.732937160000006</v>
      </c>
      <c r="K19" s="34">
        <v>86.520209129999998</v>
      </c>
      <c r="L19" s="34">
        <v>81.5000146</v>
      </c>
      <c r="M19" s="34">
        <v>84.287828579999996</v>
      </c>
      <c r="N19" s="34">
        <v>99.326746970000002</v>
      </c>
      <c r="O19" s="34">
        <v>113.7803414</v>
      </c>
      <c r="P19" s="34">
        <v>124.35889640000001</v>
      </c>
      <c r="Q19" s="34">
        <v>152.7279968</v>
      </c>
      <c r="R19" s="34">
        <v>155.64905690000001</v>
      </c>
      <c r="S19" s="34">
        <v>176.78335100000001</v>
      </c>
      <c r="T19" s="34">
        <v>225.94151780000001</v>
      </c>
      <c r="U19" s="34">
        <v>262.07600960000002</v>
      </c>
      <c r="V19" s="34">
        <v>282.68585009999998</v>
      </c>
      <c r="W19" s="34">
        <v>254.23046869999999</v>
      </c>
      <c r="X19" s="34">
        <v>245.09449090000001</v>
      </c>
      <c r="Y19" s="34">
        <v>217.99460239999999</v>
      </c>
      <c r="Z19" s="34">
        <v>193.8432731</v>
      </c>
      <c r="AA19" s="34">
        <v>200.89435180000001</v>
      </c>
      <c r="AB19" s="34">
        <v>256.76248070000003</v>
      </c>
      <c r="AC19" s="34">
        <v>291.1316167</v>
      </c>
      <c r="AD19" s="34">
        <v>313.0615914</v>
      </c>
      <c r="AE19" s="34">
        <v>304.85352089999998</v>
      </c>
      <c r="AF19" s="34">
        <v>351.97923350000002</v>
      </c>
      <c r="AG19" s="34">
        <v>346.41059589999998</v>
      </c>
      <c r="AH19" s="34">
        <v>361.04687560000002</v>
      </c>
      <c r="AI19" s="34">
        <v>334.94323700000001</v>
      </c>
      <c r="AJ19" s="34">
        <v>193.07028020000001</v>
      </c>
      <c r="AK19" s="34">
        <v>235.83215060000001</v>
      </c>
      <c r="AL19" s="34">
        <v>249.3605589</v>
      </c>
      <c r="AM19" s="34">
        <v>229.49294929999999</v>
      </c>
      <c r="AN19" s="34">
        <v>255.71823670000001</v>
      </c>
      <c r="AO19" s="34">
        <v>300.42172390000002</v>
      </c>
      <c r="AP19" s="34">
        <v>255.7186873</v>
      </c>
      <c r="AQ19" s="34">
        <v>267.09759960000002</v>
      </c>
      <c r="AR19" s="34">
        <v>294.66538850000001</v>
      </c>
      <c r="AS19" s="34">
        <v>374.62735800000002</v>
      </c>
      <c r="AT19" s="34">
        <v>418.37666030000003</v>
      </c>
      <c r="AU19" s="34">
        <v>457.9334308</v>
      </c>
      <c r="AV19" s="34">
        <v>473.44986820000003</v>
      </c>
      <c r="AW19" s="34">
        <v>535.06227950000005</v>
      </c>
      <c r="AX19" s="34">
        <v>643.40458100000001</v>
      </c>
      <c r="AY19" s="34">
        <v>624.17516450000005</v>
      </c>
      <c r="AZ19" s="34">
        <v>647.83609550000006</v>
      </c>
      <c r="BA19" s="34">
        <v>751.17277039999999</v>
      </c>
      <c r="BB19" s="34">
        <v>758.00042699999995</v>
      </c>
      <c r="BC19" s="34">
        <v>787.46943830908504</v>
      </c>
      <c r="BD19" s="34">
        <v>792.84623739999995</v>
      </c>
      <c r="BE19" s="34">
        <v>653.32726809999997</v>
      </c>
      <c r="BF19" s="34">
        <v>688.25069629999996</v>
      </c>
      <c r="BG19" s="34">
        <v>734.99626799999999</v>
      </c>
      <c r="BH19" s="34">
        <v>804.50053779999996</v>
      </c>
      <c r="BI19" s="34">
        <v>796.11520680000001</v>
      </c>
      <c r="BJ19" s="34">
        <v>857.93272969999998</v>
      </c>
    </row>
    <row r="20" spans="1:62">
      <c r="A20" s="1" t="s">
        <v>1007</v>
      </c>
      <c r="B20" s="34">
        <v>89.035239430000004</v>
      </c>
      <c r="C20" s="34">
        <v>97.595291700000004</v>
      </c>
      <c r="D20" s="34">
        <v>100.12212959999999</v>
      </c>
      <c r="E20" s="34">
        <v>101.90141250000001</v>
      </c>
      <c r="F20" s="34">
        <v>100.2211042</v>
      </c>
      <c r="G20" s="34">
        <v>106.6466444</v>
      </c>
      <c r="H20" s="34">
        <v>112.66536480000001</v>
      </c>
      <c r="I20" s="34">
        <v>122.8706285</v>
      </c>
      <c r="J20" s="34">
        <v>122.84759750000001</v>
      </c>
      <c r="K20" s="34">
        <v>135.14738130000001</v>
      </c>
      <c r="L20" s="34">
        <v>140.0027053</v>
      </c>
      <c r="M20" s="34">
        <v>133.55141889999999</v>
      </c>
      <c r="N20" s="34">
        <v>94.381677049999993</v>
      </c>
      <c r="O20" s="34">
        <v>119.55972389999999</v>
      </c>
      <c r="P20" s="34">
        <v>182.02001849999999</v>
      </c>
      <c r="Q20" s="34">
        <v>277.57060519999999</v>
      </c>
      <c r="R20" s="34">
        <v>141.19715890000001</v>
      </c>
      <c r="S20" s="34">
        <v>131.3732273</v>
      </c>
      <c r="T20" s="34">
        <v>176.03394739999999</v>
      </c>
      <c r="U20" s="34">
        <v>200.769677</v>
      </c>
      <c r="V20" s="34">
        <v>227.7519265</v>
      </c>
      <c r="W20" s="34">
        <v>247.64961679999999</v>
      </c>
      <c r="X20" s="34">
        <v>220.718797</v>
      </c>
      <c r="Y20" s="34">
        <v>204.41769009999999</v>
      </c>
      <c r="Z20" s="34">
        <v>213.99663860000001</v>
      </c>
      <c r="AA20" s="34">
        <v>245.45391230000001</v>
      </c>
      <c r="AB20" s="34">
        <v>233.65807219999999</v>
      </c>
      <c r="AC20" s="34">
        <v>253.9744737</v>
      </c>
      <c r="AD20" s="34">
        <v>270.69960090000001</v>
      </c>
      <c r="AE20" s="34">
        <v>285.82921690000001</v>
      </c>
      <c r="AF20" s="34">
        <v>306.26870079999998</v>
      </c>
      <c r="AG20" s="34">
        <v>293.16042110000001</v>
      </c>
      <c r="AH20" s="34">
        <v>293.64498759999998</v>
      </c>
      <c r="AI20" s="34">
        <v>300.55574769999998</v>
      </c>
      <c r="AJ20" s="34">
        <v>299.5330371</v>
      </c>
      <c r="AK20" s="34">
        <v>329.42407609999998</v>
      </c>
      <c r="AL20" s="34">
        <v>394.71749190000003</v>
      </c>
      <c r="AM20" s="34">
        <v>401.49866739999999</v>
      </c>
      <c r="AN20" s="34">
        <v>407.42917619999997</v>
      </c>
      <c r="AO20" s="34">
        <v>409.54318380000001</v>
      </c>
      <c r="AP20" s="34">
        <v>418.06894210000002</v>
      </c>
      <c r="AQ20" s="34">
        <v>415.03440430000001</v>
      </c>
      <c r="AR20" s="34">
        <v>413.08028259999998</v>
      </c>
      <c r="AS20" s="34">
        <v>446.31067569999999</v>
      </c>
      <c r="AT20" s="34">
        <v>475.29193020000002</v>
      </c>
      <c r="AU20" s="34">
        <v>499.46194020000002</v>
      </c>
      <c r="AV20" s="34">
        <v>509.6401899</v>
      </c>
      <c r="AW20" s="34">
        <v>558.05184069999996</v>
      </c>
      <c r="AX20" s="34">
        <v>634.98706970000001</v>
      </c>
      <c r="AY20" s="34">
        <v>702.2644196</v>
      </c>
      <c r="AZ20" s="34">
        <v>781.15357770000003</v>
      </c>
      <c r="BA20" s="34">
        <v>861.76216220000003</v>
      </c>
      <c r="BB20" s="34">
        <v>883.1171296</v>
      </c>
      <c r="BC20" s="34">
        <v>981.86085135445705</v>
      </c>
      <c r="BD20" s="34">
        <v>1118.8738080000001</v>
      </c>
      <c r="BE20" s="34">
        <v>1248.4533100000001</v>
      </c>
      <c r="BF20" s="34">
        <v>1401.564635</v>
      </c>
      <c r="BG20" s="34">
        <v>1563.7678189999999</v>
      </c>
      <c r="BH20" s="34">
        <v>1698.132081</v>
      </c>
      <c r="BI20" s="34">
        <v>1855.740094</v>
      </c>
      <c r="BJ20" s="34">
        <v>1961.6137490000001</v>
      </c>
    </row>
    <row r="21" spans="1:62">
      <c r="A21" s="1" t="s">
        <v>1016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2238.8029580000002</v>
      </c>
      <c r="W21" s="34">
        <v>2234.8148160000001</v>
      </c>
      <c r="X21" s="34">
        <v>2169.004011</v>
      </c>
      <c r="Y21" s="34">
        <v>1852.8134339999999</v>
      </c>
      <c r="Z21" s="34">
        <v>1963.572676</v>
      </c>
      <c r="AA21" s="34">
        <v>1914.550647</v>
      </c>
      <c r="AB21" s="34">
        <v>2260.4272810000002</v>
      </c>
      <c r="AC21" s="34">
        <v>3132.3013599999999</v>
      </c>
      <c r="AD21" s="34">
        <v>2511.393063</v>
      </c>
      <c r="AE21" s="34">
        <v>2477.020818</v>
      </c>
      <c r="AF21" s="34">
        <v>2366.5298210000001</v>
      </c>
      <c r="AG21" s="34">
        <v>1267.734375</v>
      </c>
      <c r="AH21" s="34">
        <v>1211.9808780000001</v>
      </c>
      <c r="AI21" s="34">
        <v>1278.247173</v>
      </c>
      <c r="AJ21" s="34">
        <v>1148.4943989999999</v>
      </c>
      <c r="AK21" s="34">
        <v>2258.2860179999998</v>
      </c>
      <c r="AL21" s="34">
        <v>1470.103703</v>
      </c>
      <c r="AM21" s="34">
        <v>1361.392386</v>
      </c>
      <c r="AN21" s="34">
        <v>1820.405094</v>
      </c>
      <c r="AO21" s="34">
        <v>1659.7183460000001</v>
      </c>
      <c r="AP21" s="34">
        <v>1621.2429609999999</v>
      </c>
      <c r="AQ21" s="34">
        <v>1770.913534</v>
      </c>
      <c r="AR21" s="34">
        <v>2092.9576940000002</v>
      </c>
      <c r="AS21" s="34">
        <v>2719.497656</v>
      </c>
      <c r="AT21" s="34">
        <v>3389.7070490000001</v>
      </c>
      <c r="AU21" s="34">
        <v>3899.9076380000001</v>
      </c>
      <c r="AV21" s="34">
        <v>4523.0508330000002</v>
      </c>
      <c r="AW21" s="34">
        <v>5885.1043479999998</v>
      </c>
      <c r="AX21" s="34">
        <v>7265.7354969999997</v>
      </c>
      <c r="AY21" s="34">
        <v>6988.2333250000001</v>
      </c>
      <c r="AZ21" s="34">
        <v>6853.0028540000003</v>
      </c>
      <c r="BA21" s="34">
        <v>7849.1652830000003</v>
      </c>
      <c r="BB21" s="34">
        <v>7432.4787660000002</v>
      </c>
      <c r="BC21" s="34">
        <v>7681.9346199588199</v>
      </c>
      <c r="BD21" s="34">
        <v>7901.7858759999999</v>
      </c>
      <c r="BE21" s="34">
        <v>7074.6810230000001</v>
      </c>
      <c r="BF21" s="34">
        <v>7569.4788150000004</v>
      </c>
      <c r="BG21" s="34">
        <v>8366.2932209999999</v>
      </c>
      <c r="BH21" s="34">
        <v>9446.7007720000001</v>
      </c>
      <c r="BI21" s="34">
        <v>9879.2685330000004</v>
      </c>
      <c r="BJ21" s="34">
        <v>10079.203380000001</v>
      </c>
    </row>
    <row r="22" spans="1:62">
      <c r="A22" s="1" t="s">
        <v>1014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8537.71587</v>
      </c>
      <c r="W22" s="34">
        <v>9269.2696169999999</v>
      </c>
      <c r="X22" s="34">
        <v>9446.0845769999996</v>
      </c>
      <c r="Y22" s="34">
        <v>9421.3569470000002</v>
      </c>
      <c r="Z22" s="34">
        <v>9590.5417940000007</v>
      </c>
      <c r="AA22" s="34">
        <v>8706.7666009999994</v>
      </c>
      <c r="AB22" s="34">
        <v>7041.6344470000004</v>
      </c>
      <c r="AC22" s="34">
        <v>7554.9321920000002</v>
      </c>
      <c r="AD22" s="34">
        <v>7958.7479249999997</v>
      </c>
      <c r="AE22" s="34">
        <v>8031.0048200000001</v>
      </c>
      <c r="AF22" s="34">
        <v>8529.0521270000008</v>
      </c>
      <c r="AG22" s="34">
        <v>9055.6444069999998</v>
      </c>
      <c r="AH22" s="34">
        <v>9082.8279879999991</v>
      </c>
      <c r="AI22" s="34">
        <v>9698.1528899999994</v>
      </c>
      <c r="AJ22" s="34">
        <v>10130.376200000001</v>
      </c>
      <c r="AK22" s="34">
        <v>10376.953299999999</v>
      </c>
      <c r="AL22" s="34">
        <v>10544.794680000001</v>
      </c>
      <c r="AM22" s="34">
        <v>10672.23776</v>
      </c>
      <c r="AN22" s="34">
        <v>10076.26988</v>
      </c>
      <c r="AO22" s="34">
        <v>10401.56215</v>
      </c>
      <c r="AP22" s="34">
        <v>13636.41675</v>
      </c>
      <c r="AQ22" s="34">
        <v>12868.17692</v>
      </c>
      <c r="AR22" s="34">
        <v>13049.909729999999</v>
      </c>
      <c r="AS22" s="34">
        <v>14222.0368</v>
      </c>
      <c r="AT22" s="34">
        <v>15846.505950000001</v>
      </c>
      <c r="AU22" s="34">
        <v>17959.396830000002</v>
      </c>
      <c r="AV22" s="34">
        <v>19307.50894</v>
      </c>
      <c r="AW22" s="34">
        <v>20976.442289999999</v>
      </c>
      <c r="AX22" s="34">
        <v>23066.450980000001</v>
      </c>
      <c r="AY22" s="34">
        <v>19355.921009999998</v>
      </c>
      <c r="AZ22" s="34">
        <v>20722.070489999998</v>
      </c>
      <c r="BA22" s="34">
        <v>22514.202720000001</v>
      </c>
      <c r="BB22" s="34">
        <v>23654.369589999998</v>
      </c>
      <c r="BC22" s="34">
        <v>24744.296958551</v>
      </c>
      <c r="BD22" s="34">
        <v>24989.437529999999</v>
      </c>
      <c r="BE22" s="34">
        <v>22634.085650000001</v>
      </c>
      <c r="BF22" s="34">
        <v>22608.452560000002</v>
      </c>
      <c r="BG22" s="34">
        <v>23742.93734</v>
      </c>
      <c r="BH22" s="34">
        <v>24085.955989999999</v>
      </c>
      <c r="BI22" s="34">
        <v>23551.930090000002</v>
      </c>
      <c r="BJ22" s="34">
        <v>20409.952799999999</v>
      </c>
    </row>
    <row r="23" spans="1:62">
      <c r="A23" s="1" t="s">
        <v>1170</v>
      </c>
      <c r="B23" s="34">
        <v>1550.267699</v>
      </c>
      <c r="C23" s="34">
        <v>1651.317673</v>
      </c>
      <c r="D23" s="34">
        <v>1752.8400059999999</v>
      </c>
      <c r="E23" s="34">
        <v>1867.0103509999999</v>
      </c>
      <c r="F23" s="34">
        <v>1994.4404970000001</v>
      </c>
      <c r="G23" s="34">
        <v>2144.7390890000001</v>
      </c>
      <c r="H23" s="34">
        <v>2322.7058160000001</v>
      </c>
      <c r="I23" s="34">
        <v>2556.6342669999999</v>
      </c>
      <c r="J23" s="34">
        <v>2804.3338760000001</v>
      </c>
      <c r="K23" s="34">
        <v>3215.1538970000001</v>
      </c>
      <c r="L23" s="34">
        <v>3178.8633199999999</v>
      </c>
      <c r="M23" s="34">
        <v>3297.411067</v>
      </c>
      <c r="N23" s="34">
        <v>3322.2199110000001</v>
      </c>
      <c r="O23" s="34">
        <v>3696.0318200000002</v>
      </c>
      <c r="P23" s="34">
        <v>3416.4393180000002</v>
      </c>
      <c r="Q23" s="34">
        <v>3156.2508269999998</v>
      </c>
      <c r="R23" s="34">
        <v>3328.615937</v>
      </c>
      <c r="S23" s="34">
        <v>3617.45307</v>
      </c>
      <c r="T23" s="34">
        <v>4131.3864270000004</v>
      </c>
      <c r="U23" s="34">
        <v>5533.2519380000003</v>
      </c>
      <c r="V23" s="34">
        <v>6340.7870309999998</v>
      </c>
      <c r="W23" s="34">
        <v>6624.9924529999998</v>
      </c>
      <c r="X23" s="34">
        <v>7168.1608850000002</v>
      </c>
      <c r="Y23" s="34">
        <v>7698.0830319999995</v>
      </c>
      <c r="Z23" s="34">
        <v>8877.7059150000005</v>
      </c>
      <c r="AA23" s="34">
        <v>9893.0420030000005</v>
      </c>
      <c r="AB23" s="34">
        <v>10344.32265</v>
      </c>
      <c r="AC23" s="34">
        <v>11156.55725</v>
      </c>
      <c r="AD23" s="34">
        <v>11387.709080000001</v>
      </c>
      <c r="AE23" s="34">
        <v>12163.439770000001</v>
      </c>
      <c r="AF23" s="34">
        <v>12356.231</v>
      </c>
      <c r="AG23" s="34">
        <v>11919.833570000001</v>
      </c>
      <c r="AH23" s="34">
        <v>11686.739740000001</v>
      </c>
      <c r="AI23" s="34">
        <v>11406.858130000001</v>
      </c>
      <c r="AJ23" s="34">
        <v>11814.43471</v>
      </c>
      <c r="AK23" s="34">
        <v>12238.60461</v>
      </c>
      <c r="AL23" s="34">
        <v>12708.641449999999</v>
      </c>
      <c r="AM23" s="34">
        <v>22036.10068</v>
      </c>
      <c r="AN23" s="34">
        <v>23514.17756</v>
      </c>
      <c r="AO23" s="34">
        <v>26130.01296</v>
      </c>
      <c r="AP23" s="34">
        <v>27098.156319999998</v>
      </c>
      <c r="AQ23" s="34">
        <v>27486.23677</v>
      </c>
      <c r="AR23" s="34">
        <v>28867.0825</v>
      </c>
      <c r="AS23" s="34">
        <v>28327.81367</v>
      </c>
      <c r="AT23" s="34">
        <v>28396.013709999999</v>
      </c>
      <c r="AU23" s="34">
        <v>30279.392210000002</v>
      </c>
      <c r="AV23" s="34">
        <v>30713.798060000001</v>
      </c>
      <c r="AW23" s="34">
        <v>31472.285540000001</v>
      </c>
      <c r="AX23" s="34">
        <v>30627.32775</v>
      </c>
      <c r="AY23" s="34">
        <v>28552.517159999999</v>
      </c>
      <c r="AZ23" s="34">
        <v>28443.888480000001</v>
      </c>
      <c r="BA23" s="34">
        <v>28005.912400000001</v>
      </c>
      <c r="BB23" s="34">
        <v>29485.864219999999</v>
      </c>
      <c r="BC23" s="34">
        <v>28583.0232976179</v>
      </c>
      <c r="BD23" s="34">
        <v>30065.160199999998</v>
      </c>
      <c r="BE23" s="34">
        <v>31776.05559</v>
      </c>
      <c r="BF23" s="34">
        <v>31732.919140000002</v>
      </c>
      <c r="BG23" s="34">
        <v>32376.509170000001</v>
      </c>
      <c r="BH23" s="34">
        <v>33290.028140000002</v>
      </c>
      <c r="BI23" s="34">
        <v>33799.417690000002</v>
      </c>
      <c r="BJ23" s="34">
        <v>25194.025140000002</v>
      </c>
    </row>
    <row r="24" spans="1:62">
      <c r="A24" s="1" t="s">
        <v>1023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319.01279199999999</v>
      </c>
      <c r="AK24" s="34">
        <v>487.47690449999999</v>
      </c>
      <c r="AL24" s="34">
        <v>740.09968649999996</v>
      </c>
      <c r="AM24" s="34">
        <v>982.80184910000003</v>
      </c>
      <c r="AN24" s="34">
        <v>1102.390688</v>
      </c>
      <c r="AO24" s="34">
        <v>1251.747595</v>
      </c>
      <c r="AP24" s="34">
        <v>1484.176056</v>
      </c>
      <c r="AQ24" s="34">
        <v>1544.602075</v>
      </c>
      <c r="AR24" s="34">
        <v>1789.8576909999999</v>
      </c>
      <c r="AS24" s="34">
        <v>2258.9464520000001</v>
      </c>
      <c r="AT24" s="34">
        <v>2698.4671800000001</v>
      </c>
      <c r="AU24" s="34">
        <v>2980.6012679999999</v>
      </c>
      <c r="AV24" s="34">
        <v>3416.5123760000001</v>
      </c>
      <c r="AW24" s="34">
        <v>4193.3680109999996</v>
      </c>
      <c r="AX24" s="34">
        <v>5090.9458340000001</v>
      </c>
      <c r="AY24" s="34">
        <v>4714.6937459999999</v>
      </c>
      <c r="AZ24" s="34">
        <v>4635.5101949999998</v>
      </c>
      <c r="BA24" s="34">
        <v>5092.5547230000002</v>
      </c>
      <c r="BB24" s="34">
        <v>4777.066914</v>
      </c>
      <c r="BC24" s="34">
        <v>5129.6635340307002</v>
      </c>
      <c r="BD24" s="34">
        <v>5330.3550750000004</v>
      </c>
      <c r="BE24" s="34">
        <v>4729.6899590000003</v>
      </c>
      <c r="BF24" s="34">
        <v>4994.9715509999996</v>
      </c>
      <c r="BG24" s="34">
        <v>5394.2689440000004</v>
      </c>
      <c r="BH24" s="34">
        <v>6070.3490810000003</v>
      </c>
      <c r="BI24" s="34">
        <v>6119.7623450000001</v>
      </c>
      <c r="BJ24" s="34">
        <v>6079.7382850000004</v>
      </c>
    </row>
    <row r="25" spans="1:62">
      <c r="A25" s="1" t="s">
        <v>1008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2124.7679440000002</v>
      </c>
      <c r="AG25" s="34">
        <v>0</v>
      </c>
      <c r="AH25" s="34">
        <v>0</v>
      </c>
      <c r="AI25" s="34">
        <v>0</v>
      </c>
      <c r="AJ25" s="34">
        <v>1739.81405</v>
      </c>
      <c r="AK25" s="34">
        <v>1323.2730879999999</v>
      </c>
      <c r="AL25" s="34">
        <v>1452.5071049999999</v>
      </c>
      <c r="AM25" s="34">
        <v>1394.508484</v>
      </c>
      <c r="AN25" s="34">
        <v>1515.530743</v>
      </c>
      <c r="AO25" s="34">
        <v>1212.0459780000001</v>
      </c>
      <c r="AP25" s="34">
        <v>1276.4939850000001</v>
      </c>
      <c r="AQ25" s="34">
        <v>1244.3731849999999</v>
      </c>
      <c r="AR25" s="34">
        <v>1479.3145830000001</v>
      </c>
      <c r="AS25" s="34">
        <v>1819.766059</v>
      </c>
      <c r="AT25" s="34">
        <v>2378.623286</v>
      </c>
      <c r="AU25" s="34">
        <v>3125.8105350000001</v>
      </c>
      <c r="AV25" s="34">
        <v>3847.4341239999999</v>
      </c>
      <c r="AW25" s="34">
        <v>4735.6576080000004</v>
      </c>
      <c r="AX25" s="34">
        <v>6377.3697320000001</v>
      </c>
      <c r="AY25" s="34">
        <v>5352.5839120000001</v>
      </c>
      <c r="AZ25" s="34">
        <v>6033.6862389999997</v>
      </c>
      <c r="BA25" s="34">
        <v>6527.1738690000002</v>
      </c>
      <c r="BB25" s="34">
        <v>6953.1325150000002</v>
      </c>
      <c r="BC25" s="34">
        <v>7998.12523878099</v>
      </c>
      <c r="BD25" s="34">
        <v>8341.3996790000001</v>
      </c>
      <c r="BE25" s="34">
        <v>5967.0522039999996</v>
      </c>
      <c r="BF25" s="34">
        <v>5039.6818860000003</v>
      </c>
      <c r="BG25" s="34">
        <v>5785.6706729999996</v>
      </c>
      <c r="BH25" s="34">
        <v>6360.062473</v>
      </c>
      <c r="BI25" s="34">
        <v>6837.7178260000001</v>
      </c>
      <c r="BJ25" s="34">
        <v>6424.1521759999996</v>
      </c>
    </row>
    <row r="26" spans="1:62">
      <c r="A26" s="1" t="s">
        <v>1010</v>
      </c>
      <c r="B26" s="34">
        <v>304.90385980000002</v>
      </c>
      <c r="C26" s="34">
        <v>316.41362950000001</v>
      </c>
      <c r="D26" s="34">
        <v>327.09999649999997</v>
      </c>
      <c r="E26" s="34">
        <v>336.93810230000003</v>
      </c>
      <c r="F26" s="34">
        <v>351.16112629999998</v>
      </c>
      <c r="G26" s="34">
        <v>377.59074700000002</v>
      </c>
      <c r="H26" s="34">
        <v>406.09425329999999</v>
      </c>
      <c r="I26" s="34">
        <v>420.3759336</v>
      </c>
      <c r="J26" s="34">
        <v>386.93990129999997</v>
      </c>
      <c r="K26" s="34">
        <v>396.62770060000003</v>
      </c>
      <c r="L26" s="34">
        <v>435.68333769999998</v>
      </c>
      <c r="M26" s="34">
        <v>474.43661259999999</v>
      </c>
      <c r="N26" s="34">
        <v>519.55533530000002</v>
      </c>
      <c r="O26" s="34">
        <v>605.93344070000001</v>
      </c>
      <c r="P26" s="34">
        <v>786.08106520000001</v>
      </c>
      <c r="Q26" s="34">
        <v>885.95793570000001</v>
      </c>
      <c r="R26" s="34">
        <v>717.06140600000003</v>
      </c>
      <c r="S26" s="34">
        <v>858.82181179999998</v>
      </c>
      <c r="T26" s="34">
        <v>980.75193379999996</v>
      </c>
      <c r="U26" s="34">
        <v>1074.2947730000001</v>
      </c>
      <c r="V26" s="34">
        <v>1373.2168449999999</v>
      </c>
      <c r="W26" s="34">
        <v>1328.7741209999999</v>
      </c>
      <c r="X26" s="34">
        <v>1202.7931759999999</v>
      </c>
      <c r="Y26" s="34">
        <v>1232.853202</v>
      </c>
      <c r="Z26" s="34">
        <v>1337.0376200000001</v>
      </c>
      <c r="AA26" s="34">
        <v>1289.390744</v>
      </c>
      <c r="AB26" s="34">
        <v>1366.0416740000001</v>
      </c>
      <c r="AC26" s="34">
        <v>1612.3313350000001</v>
      </c>
      <c r="AD26" s="34">
        <v>1788.0013200000001</v>
      </c>
      <c r="AE26" s="34">
        <v>2011.9467970000001</v>
      </c>
      <c r="AF26" s="34">
        <v>2197.1615929999998</v>
      </c>
      <c r="AG26" s="34">
        <v>2326.7241650000001</v>
      </c>
      <c r="AH26" s="34">
        <v>2668.531422</v>
      </c>
      <c r="AI26" s="34">
        <v>2834.6884249999998</v>
      </c>
      <c r="AJ26" s="34">
        <v>2882.1520829999999</v>
      </c>
      <c r="AK26" s="34">
        <v>2997.7604580000002</v>
      </c>
      <c r="AL26" s="34">
        <v>3003.1826270000001</v>
      </c>
      <c r="AM26" s="34">
        <v>2954.2272370000001</v>
      </c>
      <c r="AN26" s="34">
        <v>2993.0335989999999</v>
      </c>
      <c r="AO26" s="34">
        <v>3066.0951380000001</v>
      </c>
      <c r="AP26" s="34">
        <v>3364.4917310000001</v>
      </c>
      <c r="AQ26" s="34">
        <v>3404.4205860000002</v>
      </c>
      <c r="AR26" s="34">
        <v>3526.0815130000001</v>
      </c>
      <c r="AS26" s="34">
        <v>3650.6064700000002</v>
      </c>
      <c r="AT26" s="34">
        <v>3802.26316</v>
      </c>
      <c r="AU26" s="34">
        <v>3885.0340740000001</v>
      </c>
      <c r="AV26" s="34">
        <v>4155.3238849999998</v>
      </c>
      <c r="AW26" s="34">
        <v>4252.3954039999999</v>
      </c>
      <c r="AX26" s="34">
        <v>4404.3081979999997</v>
      </c>
      <c r="AY26" s="34">
        <v>4186.5199979999998</v>
      </c>
      <c r="AZ26" s="34">
        <v>4270.7800850000003</v>
      </c>
      <c r="BA26" s="34">
        <v>4423.4968419999996</v>
      </c>
      <c r="BB26" s="34">
        <v>4505.6005930000001</v>
      </c>
      <c r="BC26" s="34">
        <v>4568.6412279911501</v>
      </c>
      <c r="BD26" s="34">
        <v>4718.4365809999999</v>
      </c>
      <c r="BE26" s="34">
        <v>4770.2326560000001</v>
      </c>
      <c r="BF26" s="34">
        <v>4856.9732489999997</v>
      </c>
      <c r="BG26" s="34">
        <v>4945.8576990000001</v>
      </c>
      <c r="BH26" s="34">
        <v>5001.422157</v>
      </c>
      <c r="BI26" s="34">
        <v>5078.8099439999996</v>
      </c>
      <c r="BJ26" s="34">
        <v>4115.1770079999997</v>
      </c>
    </row>
    <row r="27" spans="1:62">
      <c r="A27" s="1" t="s">
        <v>1171</v>
      </c>
      <c r="B27" s="34">
        <v>1902.4021190000001</v>
      </c>
      <c r="C27" s="34">
        <v>1961.5381689999999</v>
      </c>
      <c r="D27" s="34">
        <v>2020.3859649999999</v>
      </c>
      <c r="E27" s="34">
        <v>2020.265247</v>
      </c>
      <c r="F27" s="34">
        <v>2199.727007</v>
      </c>
      <c r="G27" s="34">
        <v>2282.2165460000001</v>
      </c>
      <c r="H27" s="34">
        <v>2630.8504659999999</v>
      </c>
      <c r="I27" s="34">
        <v>2982.7497039999998</v>
      </c>
      <c r="J27" s="34">
        <v>2830.1886789999999</v>
      </c>
      <c r="K27" s="34">
        <v>3053.703704</v>
      </c>
      <c r="L27" s="34">
        <v>3387.272727</v>
      </c>
      <c r="M27" s="34">
        <v>3866.3003659999999</v>
      </c>
      <c r="N27" s="34">
        <v>4343.1734319999996</v>
      </c>
      <c r="O27" s="34">
        <v>5009.2936799999998</v>
      </c>
      <c r="P27" s="34">
        <v>5853.9325840000001</v>
      </c>
      <c r="Q27" s="34">
        <v>6509.4339620000001</v>
      </c>
      <c r="R27" s="34">
        <v>7261.2781949999999</v>
      </c>
      <c r="S27" s="34">
        <v>8370.7865170000005</v>
      </c>
      <c r="T27" s="34">
        <v>8876.8656719999999</v>
      </c>
      <c r="U27" s="34">
        <v>9613.3829000000005</v>
      </c>
      <c r="V27" s="34">
        <v>11218.21782</v>
      </c>
      <c r="W27" s="34">
        <v>13425.97697</v>
      </c>
      <c r="X27" s="34">
        <v>14166.17129</v>
      </c>
      <c r="Y27" s="34">
        <v>15902.02038</v>
      </c>
      <c r="Z27" s="34">
        <v>17469.825570000001</v>
      </c>
      <c r="AA27" s="34">
        <v>18269.535520000001</v>
      </c>
      <c r="AB27" s="34">
        <v>20450.664529999998</v>
      </c>
      <c r="AC27" s="34">
        <v>22411.79567</v>
      </c>
      <c r="AD27" s="34">
        <v>24253.175520000001</v>
      </c>
      <c r="AE27" s="34">
        <v>25517.921719999998</v>
      </c>
      <c r="AF27" s="34">
        <v>26841.51974</v>
      </c>
      <c r="AG27" s="34">
        <v>27700.31006</v>
      </c>
      <c r="AH27" s="34">
        <v>28669.681710000001</v>
      </c>
      <c r="AI27" s="34">
        <v>30900.69428</v>
      </c>
      <c r="AJ27" s="34">
        <v>31476.063719999998</v>
      </c>
      <c r="AK27" s="34">
        <v>33989.723160000001</v>
      </c>
      <c r="AL27" s="34">
        <v>44826.789069999999</v>
      </c>
      <c r="AM27" s="34">
        <v>48478.883249999999</v>
      </c>
      <c r="AN27" s="34">
        <v>51371.740810000003</v>
      </c>
      <c r="AO27" s="34">
        <v>54245.459739999998</v>
      </c>
      <c r="AP27" s="34">
        <v>56284.16865</v>
      </c>
      <c r="AQ27" s="34">
        <v>58883.959430000003</v>
      </c>
      <c r="AR27" s="34">
        <v>62583.100200000001</v>
      </c>
      <c r="AS27" s="34">
        <v>66111.725229999996</v>
      </c>
      <c r="AT27" s="34">
        <v>70359.319109999997</v>
      </c>
      <c r="AU27" s="34">
        <v>75882.033859999996</v>
      </c>
      <c r="AV27" s="34">
        <v>95221.858869999996</v>
      </c>
      <c r="AW27" s="34">
        <v>104287.3875</v>
      </c>
      <c r="AX27" s="34">
        <v>106935.4863</v>
      </c>
      <c r="AY27" s="34">
        <v>101407.764</v>
      </c>
      <c r="AZ27" s="34">
        <v>101875.2841</v>
      </c>
      <c r="BA27" s="34">
        <v>97774.162070000006</v>
      </c>
      <c r="BB27" s="34">
        <v>98431.865179999993</v>
      </c>
      <c r="BC27" s="34">
        <v>99471.6388978631</v>
      </c>
      <c r="BD27" s="34">
        <v>98467.683990000005</v>
      </c>
      <c r="BE27" s="34">
        <v>102005.6256</v>
      </c>
      <c r="BF27" s="34">
        <v>106885.87850000001</v>
      </c>
      <c r="BG27" s="34">
        <v>111820.5815</v>
      </c>
      <c r="BH27" s="34">
        <v>113023.1856</v>
      </c>
      <c r="BI27" s="34">
        <v>117098.4463</v>
      </c>
      <c r="BJ27" s="34">
        <v>107079.4798</v>
      </c>
    </row>
    <row r="28" spans="1:62">
      <c r="A28" s="1" t="s">
        <v>1013</v>
      </c>
      <c r="B28" s="34">
        <v>102.2377224</v>
      </c>
      <c r="C28" s="34">
        <v>109.06130400000001</v>
      </c>
      <c r="D28" s="34">
        <v>116.9249682</v>
      </c>
      <c r="E28" s="34">
        <v>123.4293413</v>
      </c>
      <c r="F28" s="34">
        <v>136.31236200000001</v>
      </c>
      <c r="G28" s="34">
        <v>149.64033319999999</v>
      </c>
      <c r="H28" s="34">
        <v>162.3260545</v>
      </c>
      <c r="I28" s="34">
        <v>179.58303839999999</v>
      </c>
      <c r="J28" s="34">
        <v>199.62956740000001</v>
      </c>
      <c r="K28" s="34">
        <v>211.7970162</v>
      </c>
      <c r="L28" s="34">
        <v>226.80697140000001</v>
      </c>
      <c r="M28" s="34">
        <v>239.12749869999999</v>
      </c>
      <c r="N28" s="34">
        <v>268.5840154</v>
      </c>
      <c r="O28" s="34">
        <v>263.89274610000001</v>
      </c>
      <c r="P28" s="34">
        <v>429.2975596</v>
      </c>
      <c r="Q28" s="34">
        <v>480.80365510000001</v>
      </c>
      <c r="R28" s="34">
        <v>534.27328590000002</v>
      </c>
      <c r="S28" s="34">
        <v>617.30682920000004</v>
      </c>
      <c r="T28" s="34">
        <v>703.13542729999995</v>
      </c>
      <c r="U28" s="34">
        <v>809.41217849999998</v>
      </c>
      <c r="V28" s="34">
        <v>811.28529930000002</v>
      </c>
      <c r="W28" s="34">
        <v>1030.8330539999999</v>
      </c>
      <c r="X28" s="34">
        <v>960.98377819999996</v>
      </c>
      <c r="Y28" s="34">
        <v>913.97485070000005</v>
      </c>
      <c r="Z28" s="34">
        <v>1019.057257</v>
      </c>
      <c r="AA28" s="34">
        <v>870.18564839999999</v>
      </c>
      <c r="AB28" s="34">
        <v>627.39862879999998</v>
      </c>
      <c r="AC28" s="34">
        <v>671.07585470000004</v>
      </c>
      <c r="AD28" s="34">
        <v>698.69200279999995</v>
      </c>
      <c r="AE28" s="34">
        <v>701.6659386</v>
      </c>
      <c r="AF28" s="34">
        <v>709.05998239999997</v>
      </c>
      <c r="AG28" s="34">
        <v>762.0777071</v>
      </c>
      <c r="AH28" s="34">
        <v>788.15232000000003</v>
      </c>
      <c r="AI28" s="34">
        <v>784.19098870000005</v>
      </c>
      <c r="AJ28" s="34">
        <v>801.04613689999996</v>
      </c>
      <c r="AK28" s="34">
        <v>880.99268640000003</v>
      </c>
      <c r="AL28" s="34">
        <v>950.85638619999997</v>
      </c>
      <c r="AM28" s="34">
        <v>998.51595320000001</v>
      </c>
      <c r="AN28" s="34">
        <v>1049.499374</v>
      </c>
      <c r="AO28" s="34">
        <v>1003.392231</v>
      </c>
      <c r="AP28" s="34">
        <v>997.58174889999998</v>
      </c>
      <c r="AQ28" s="34">
        <v>948.87021130000005</v>
      </c>
      <c r="AR28" s="34">
        <v>904.22579989999997</v>
      </c>
      <c r="AS28" s="34">
        <v>907.53741579999996</v>
      </c>
      <c r="AT28" s="34">
        <v>967.40645859999995</v>
      </c>
      <c r="AU28" s="34">
        <v>1034.3117999999999</v>
      </c>
      <c r="AV28" s="34">
        <v>1218.8740700000001</v>
      </c>
      <c r="AW28" s="34">
        <v>1372.6283679999999</v>
      </c>
      <c r="AX28" s="34">
        <v>1715.2083929999999</v>
      </c>
      <c r="AY28" s="34">
        <v>1754.209464</v>
      </c>
      <c r="AZ28" s="34">
        <v>1955.460182</v>
      </c>
      <c r="BA28" s="34">
        <v>2346.3378440000001</v>
      </c>
      <c r="BB28" s="34">
        <v>2609.8805619999998</v>
      </c>
      <c r="BC28" s="34">
        <v>2908.2003704458002</v>
      </c>
      <c r="BD28" s="34">
        <v>3081.878823</v>
      </c>
      <c r="BE28" s="34">
        <v>3035.9716549999998</v>
      </c>
      <c r="BF28" s="34">
        <v>3076.6564400000002</v>
      </c>
      <c r="BG28" s="34">
        <v>3351.1243439999998</v>
      </c>
      <c r="BH28" s="34">
        <v>3548.59078</v>
      </c>
      <c r="BI28" s="34">
        <v>3552.068143</v>
      </c>
      <c r="BJ28" s="34">
        <v>3133.0998030000001</v>
      </c>
    </row>
    <row r="29" spans="1:62">
      <c r="A29" s="1" t="s">
        <v>330</v>
      </c>
      <c r="B29" s="34">
        <v>0</v>
      </c>
      <c r="C29" s="34">
        <v>232.48054619999999</v>
      </c>
      <c r="D29" s="34">
        <v>251.34831740000001</v>
      </c>
      <c r="E29" s="34">
        <v>295.63197079999998</v>
      </c>
      <c r="F29" s="34">
        <v>258.60537069999998</v>
      </c>
      <c r="G29" s="34">
        <v>269.45629000000002</v>
      </c>
      <c r="H29" s="34">
        <v>330.0405859</v>
      </c>
      <c r="I29" s="34">
        <v>353.1107106</v>
      </c>
      <c r="J29" s="34">
        <v>375.39057350000002</v>
      </c>
      <c r="K29" s="34">
        <v>400.78706940000001</v>
      </c>
      <c r="L29" s="34">
        <v>445.0237808</v>
      </c>
      <c r="M29" s="34">
        <v>501.31681420000001</v>
      </c>
      <c r="N29" s="34">
        <v>585.17140500000005</v>
      </c>
      <c r="O29" s="34">
        <v>817.45244520000006</v>
      </c>
      <c r="P29" s="34">
        <v>1048.596235</v>
      </c>
      <c r="Q29" s="34">
        <v>1205.074834</v>
      </c>
      <c r="R29" s="34">
        <v>1395.096399</v>
      </c>
      <c r="S29" s="34">
        <v>1568.5433539999999</v>
      </c>
      <c r="T29" s="34">
        <v>1739.720566</v>
      </c>
      <c r="U29" s="34">
        <v>1877.682272</v>
      </c>
      <c r="V29" s="34">
        <v>1966.903626</v>
      </c>
      <c r="W29" s="34">
        <v>2088.0026870000002</v>
      </c>
      <c r="X29" s="34">
        <v>2144.8040529999998</v>
      </c>
      <c r="Y29" s="34">
        <v>1465.1080919999999</v>
      </c>
      <c r="Z29" s="34">
        <v>1422.683914</v>
      </c>
      <c r="AA29" s="34">
        <v>1558.907935</v>
      </c>
      <c r="AB29" s="34">
        <v>1857.091234</v>
      </c>
      <c r="AC29" s="34">
        <v>2009.0397290000001</v>
      </c>
      <c r="AD29" s="34">
        <v>2146.7585100000001</v>
      </c>
      <c r="AE29" s="34">
        <v>2371.5721960000001</v>
      </c>
      <c r="AF29" s="34">
        <v>2622.2628810000001</v>
      </c>
      <c r="AG29" s="34">
        <v>2259.2398939999998</v>
      </c>
      <c r="AH29" s="34">
        <v>2127.5071899999998</v>
      </c>
      <c r="AI29" s="34">
        <v>2348.0900470000001</v>
      </c>
      <c r="AJ29" s="34">
        <v>3295.2449240000001</v>
      </c>
      <c r="AK29" s="34">
        <v>4748.3882080000003</v>
      </c>
      <c r="AL29" s="34">
        <v>5166.1639329999998</v>
      </c>
      <c r="AM29" s="34">
        <v>5282.0494699999999</v>
      </c>
      <c r="AN29" s="34">
        <v>5087.0790720000005</v>
      </c>
      <c r="AO29" s="34">
        <v>3479.8438329999999</v>
      </c>
      <c r="AP29" s="34">
        <v>3749.910848</v>
      </c>
      <c r="AQ29" s="34">
        <v>3160.2493450000002</v>
      </c>
      <c r="AR29" s="34">
        <v>2839.491501</v>
      </c>
      <c r="AS29" s="34">
        <v>3070.4364190000001</v>
      </c>
      <c r="AT29" s="34">
        <v>3637.3138899999999</v>
      </c>
      <c r="AU29" s="34">
        <v>4790.4565659999998</v>
      </c>
      <c r="AV29" s="34">
        <v>5886.3915219999999</v>
      </c>
      <c r="AW29" s="34">
        <v>7348.1879630000003</v>
      </c>
      <c r="AX29" s="34">
        <v>8831.1836430000003</v>
      </c>
      <c r="AY29" s="34">
        <v>8597.7943350000005</v>
      </c>
      <c r="AZ29" s="34">
        <v>11286.071540000001</v>
      </c>
      <c r="BA29" s="34">
        <v>13245.38737</v>
      </c>
      <c r="BB29" s="34">
        <v>12370.223249999999</v>
      </c>
      <c r="BC29" s="34">
        <v>12300.3867121004</v>
      </c>
      <c r="BD29" s="34">
        <v>12112.83496</v>
      </c>
      <c r="BE29" s="34">
        <v>8813.9898059999996</v>
      </c>
      <c r="BF29" s="34">
        <v>8710.0632900000001</v>
      </c>
      <c r="BG29" s="34">
        <v>9928.6758969999992</v>
      </c>
      <c r="BH29" s="34">
        <v>9151.3817319999998</v>
      </c>
      <c r="BI29" s="34">
        <v>8897.5529659999993</v>
      </c>
      <c r="BJ29" s="34">
        <v>6796.8445419999998</v>
      </c>
    </row>
    <row r="30" spans="1:62">
      <c r="A30" s="1" t="s">
        <v>1172</v>
      </c>
      <c r="B30" s="34">
        <v>0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1274.548372</v>
      </c>
      <c r="Q30" s="34">
        <v>1633.8230120000001</v>
      </c>
      <c r="R30" s="34">
        <v>1760.6600940000001</v>
      </c>
      <c r="S30" s="34">
        <v>1988.895188</v>
      </c>
      <c r="T30" s="34">
        <v>2209.7670149999999</v>
      </c>
      <c r="U30" s="34">
        <v>2667.0795840000001</v>
      </c>
      <c r="V30" s="34">
        <v>4010.8111899999999</v>
      </c>
      <c r="W30" s="34">
        <v>4398.8248659999999</v>
      </c>
      <c r="X30" s="34">
        <v>4580.9705299999996</v>
      </c>
      <c r="Y30" s="34">
        <v>4851.0995549999998</v>
      </c>
      <c r="Z30" s="34">
        <v>5271.7298360000004</v>
      </c>
      <c r="AA30" s="34">
        <v>5500.4141140000002</v>
      </c>
      <c r="AB30" s="34">
        <v>6019.6532440000001</v>
      </c>
      <c r="AC30" s="34">
        <v>6605.779219</v>
      </c>
      <c r="AD30" s="34">
        <v>6999.8761160000004</v>
      </c>
      <c r="AE30" s="34">
        <v>7717.1774489999998</v>
      </c>
      <c r="AF30" s="34">
        <v>7711.2954559999998</v>
      </c>
      <c r="AG30" s="34">
        <v>7714.7427459999999</v>
      </c>
      <c r="AH30" s="34">
        <v>7444.1781730000002</v>
      </c>
      <c r="AI30" s="34">
        <v>7819.5700029999998</v>
      </c>
      <c r="AJ30" s="34">
        <v>8121.5619189999998</v>
      </c>
      <c r="AK30" s="34">
        <v>8335.8992930000004</v>
      </c>
      <c r="AL30" s="34">
        <v>8851.0464580000007</v>
      </c>
      <c r="AM30" s="34">
        <v>9315.9675659999994</v>
      </c>
      <c r="AN30" s="34">
        <v>10459.44247</v>
      </c>
      <c r="AO30" s="34">
        <v>10914.28224</v>
      </c>
      <c r="AP30" s="34">
        <v>11268.42006</v>
      </c>
      <c r="AQ30" s="34">
        <v>11209.421120000001</v>
      </c>
      <c r="AR30" s="34">
        <v>11361.51677</v>
      </c>
      <c r="AS30" s="34">
        <v>11699.37047</v>
      </c>
      <c r="AT30" s="34">
        <v>12512.57797</v>
      </c>
      <c r="AU30" s="34">
        <v>13822.741749999999</v>
      </c>
      <c r="AV30" s="34">
        <v>15199.56753</v>
      </c>
      <c r="AW30" s="34">
        <v>16770.661029999999</v>
      </c>
      <c r="AX30" s="34">
        <v>17092.582139999999</v>
      </c>
      <c r="AY30" s="34">
        <v>15885.410180000001</v>
      </c>
      <c r="AZ30" s="34">
        <v>16056.37098</v>
      </c>
      <c r="BA30" s="34">
        <v>16458.353210000001</v>
      </c>
      <c r="BB30" s="34">
        <v>16249.67395</v>
      </c>
      <c r="BC30" s="34">
        <v>16451.279309447302</v>
      </c>
      <c r="BD30" s="34">
        <v>16489.072240000001</v>
      </c>
      <c r="BE30" s="34">
        <v>16524.8995</v>
      </c>
      <c r="BF30" s="34">
        <v>16900.048289999999</v>
      </c>
      <c r="BG30" s="34">
        <v>17391.66891</v>
      </c>
      <c r="BH30" s="34">
        <v>17745.255369999999</v>
      </c>
      <c r="BI30" s="34">
        <v>18148.49785</v>
      </c>
      <c r="BJ30" s="34">
        <v>15373.8547</v>
      </c>
    </row>
    <row r="31" spans="1:62">
      <c r="A31" s="1" t="s">
        <v>1025</v>
      </c>
      <c r="B31" s="34">
        <v>0</v>
      </c>
      <c r="C31" s="34">
        <v>0</v>
      </c>
      <c r="D31" s="34">
        <v>0</v>
      </c>
      <c r="E31" s="34">
        <v>0</v>
      </c>
      <c r="F31" s="34">
        <v>0</v>
      </c>
      <c r="G31" s="34">
        <v>1113.783042</v>
      </c>
      <c r="H31" s="34">
        <v>1237.5635789999999</v>
      </c>
      <c r="I31" s="34">
        <v>1236.419664</v>
      </c>
      <c r="J31" s="34">
        <v>1364.0659780000001</v>
      </c>
      <c r="K31" s="34">
        <v>1304.340672</v>
      </c>
      <c r="L31" s="34">
        <v>1382.5376309999999</v>
      </c>
      <c r="M31" s="34">
        <v>1455.8875760000001</v>
      </c>
      <c r="N31" s="34">
        <v>1906.9714879999999</v>
      </c>
      <c r="O31" s="34">
        <v>2916.1302730000002</v>
      </c>
      <c r="P31" s="34">
        <v>6923.2218279999997</v>
      </c>
      <c r="Q31" s="34">
        <v>7228.0403729999998</v>
      </c>
      <c r="R31" s="34">
        <v>8461.8895819999998</v>
      </c>
      <c r="S31" s="34">
        <v>9917.3014700000003</v>
      </c>
      <c r="T31" s="34">
        <v>10715.17654</v>
      </c>
      <c r="U31" s="34">
        <v>14945.84109</v>
      </c>
      <c r="V31" s="34">
        <v>25422.03919</v>
      </c>
      <c r="W31" s="34">
        <v>21828.122449999999</v>
      </c>
      <c r="X31" s="34">
        <v>20693.824909999999</v>
      </c>
      <c r="Y31" s="34">
        <v>18129.243900000001</v>
      </c>
      <c r="Z31" s="34">
        <v>17337.02648</v>
      </c>
      <c r="AA31" s="34">
        <v>15699.574780000001</v>
      </c>
      <c r="AB31" s="34">
        <v>10214.028490000001</v>
      </c>
      <c r="AC31" s="34">
        <v>11594.56754</v>
      </c>
      <c r="AD31" s="34">
        <v>11009.257390000001</v>
      </c>
      <c r="AE31" s="34">
        <v>11872.72517</v>
      </c>
      <c r="AF31" s="34">
        <v>13607.89027</v>
      </c>
      <c r="AG31" s="34">
        <v>13905.16834</v>
      </c>
      <c r="AH31" s="34">
        <v>15274.66771</v>
      </c>
      <c r="AI31" s="34">
        <v>14575.57459</v>
      </c>
      <c r="AJ31" s="34">
        <v>14120.95256</v>
      </c>
      <c r="AK31" s="34">
        <v>15933.45283</v>
      </c>
      <c r="AL31" s="34">
        <v>16793.391230000001</v>
      </c>
      <c r="AM31" s="34">
        <v>16660.147629999999</v>
      </c>
      <c r="AN31" s="34">
        <v>12694.14896</v>
      </c>
      <c r="AO31" s="34">
        <v>14101.172850000001</v>
      </c>
      <c r="AP31" s="34">
        <v>18012.502189999999</v>
      </c>
      <c r="AQ31" s="34">
        <v>16472.003290000001</v>
      </c>
      <c r="AR31" s="34">
        <v>16850.394079999998</v>
      </c>
      <c r="AS31" s="34">
        <v>18560.503499999999</v>
      </c>
      <c r="AT31" s="34">
        <v>21902.027119999999</v>
      </c>
      <c r="AU31" s="34">
        <v>26105.422030000002</v>
      </c>
      <c r="AV31" s="34">
        <v>30979.96284</v>
      </c>
      <c r="AW31" s="34">
        <v>32663.392370000001</v>
      </c>
      <c r="AX31" s="34">
        <v>37934.676449999999</v>
      </c>
      <c r="AY31" s="34">
        <v>27956.005140000001</v>
      </c>
      <c r="AZ31" s="34">
        <v>35270.642140000004</v>
      </c>
      <c r="BA31" s="34">
        <v>47055.960639999998</v>
      </c>
      <c r="BB31" s="34">
        <v>47739.557690000001</v>
      </c>
      <c r="BC31" s="34">
        <v>44740.859424435497</v>
      </c>
      <c r="BD31" s="34">
        <v>41725.86752</v>
      </c>
      <c r="BE31" s="34">
        <v>31164.036250000001</v>
      </c>
      <c r="BF31" s="34">
        <v>27158.405650000001</v>
      </c>
      <c r="BG31" s="34">
        <v>28571.60829</v>
      </c>
      <c r="BH31" s="34">
        <v>31628.476259999999</v>
      </c>
      <c r="BI31" s="34">
        <v>31085.961930000001</v>
      </c>
      <c r="BJ31" s="34">
        <v>27442.953829999999</v>
      </c>
    </row>
    <row r="32" spans="1:62">
      <c r="A32" s="1" t="s">
        <v>322</v>
      </c>
      <c r="B32" s="34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316.34993580000003</v>
      </c>
      <c r="W32" s="34">
        <v>332.81059950000002</v>
      </c>
      <c r="X32" s="34">
        <v>329.573352</v>
      </c>
      <c r="Y32" s="34">
        <v>356.25056460000002</v>
      </c>
      <c r="Z32" s="34">
        <v>355.41589720000002</v>
      </c>
      <c r="AA32" s="34">
        <v>351.67989510000001</v>
      </c>
      <c r="AB32" s="34">
        <v>399.49350010000001</v>
      </c>
      <c r="AC32" s="34">
        <v>491.12781089999999</v>
      </c>
      <c r="AD32" s="34">
        <v>534.29618789999995</v>
      </c>
      <c r="AE32" s="34">
        <v>506.96839349999999</v>
      </c>
      <c r="AF32" s="34">
        <v>541.93225710000002</v>
      </c>
      <c r="AG32" s="34">
        <v>449.50124219999998</v>
      </c>
      <c r="AH32" s="34">
        <v>449.40042820000002</v>
      </c>
      <c r="AI32" s="34">
        <v>424.33784179999998</v>
      </c>
      <c r="AJ32" s="34">
        <v>486.9019801</v>
      </c>
      <c r="AK32" s="34">
        <v>543.30161869999995</v>
      </c>
      <c r="AL32" s="34">
        <v>560.39107899999999</v>
      </c>
      <c r="AM32" s="34">
        <v>638.48586660000001</v>
      </c>
      <c r="AN32" s="34">
        <v>643.98822629999995</v>
      </c>
      <c r="AO32" s="34">
        <v>690.91274350000003</v>
      </c>
      <c r="AP32" s="34">
        <v>718.19633699999997</v>
      </c>
      <c r="AQ32" s="34">
        <v>764.43280819999995</v>
      </c>
      <c r="AR32" s="34">
        <v>845.50067209999997</v>
      </c>
      <c r="AS32" s="34">
        <v>962.09537130000001</v>
      </c>
      <c r="AT32" s="34">
        <v>1068.4318109999999</v>
      </c>
      <c r="AU32" s="34">
        <v>1228.432356</v>
      </c>
      <c r="AV32" s="34">
        <v>1330.9774440000001</v>
      </c>
      <c r="AW32" s="34">
        <v>1757.1904959999999</v>
      </c>
      <c r="AX32" s="34">
        <v>1828.154677</v>
      </c>
      <c r="AY32" s="34">
        <v>1819.19731</v>
      </c>
      <c r="AZ32" s="34">
        <v>2258.1864350000001</v>
      </c>
      <c r="BA32" s="34">
        <v>2563.2612239999999</v>
      </c>
      <c r="BB32" s="34">
        <v>2538.9495189999998</v>
      </c>
      <c r="BC32" s="34">
        <v>2472.72475320595</v>
      </c>
      <c r="BD32" s="34">
        <v>2652.2256539999998</v>
      </c>
      <c r="BE32" s="34">
        <v>2752.6301720000001</v>
      </c>
      <c r="BF32" s="34">
        <v>2930.5749230000001</v>
      </c>
      <c r="BG32" s="34">
        <v>3286.5967439999999</v>
      </c>
      <c r="BH32" s="34">
        <v>3243.477437</v>
      </c>
      <c r="BI32" s="34">
        <v>3322.8633289999998</v>
      </c>
      <c r="BJ32" s="34">
        <v>3000.7793270000002</v>
      </c>
    </row>
    <row r="33" spans="1:62">
      <c r="A33" s="1" t="s">
        <v>1015</v>
      </c>
      <c r="B33" s="34">
        <v>60.493957999999999</v>
      </c>
      <c r="C33" s="34">
        <v>64.176139570000004</v>
      </c>
      <c r="D33" s="34">
        <v>68.050348959999994</v>
      </c>
      <c r="E33" s="34">
        <v>71.106439080000001</v>
      </c>
      <c r="F33" s="34">
        <v>75.95591847</v>
      </c>
      <c r="G33" s="34">
        <v>81.769994330000003</v>
      </c>
      <c r="H33" s="34">
        <v>89.979552909999995</v>
      </c>
      <c r="I33" s="34">
        <v>100.40514349999999</v>
      </c>
      <c r="J33" s="34">
        <v>110.9786423</v>
      </c>
      <c r="K33" s="34">
        <v>126.5455484</v>
      </c>
      <c r="L33" s="34">
        <v>153.32637869999999</v>
      </c>
      <c r="M33" s="34">
        <v>197.19422159999999</v>
      </c>
      <c r="N33" s="34">
        <v>246.54153779999999</v>
      </c>
      <c r="O33" s="34">
        <v>353.8584793</v>
      </c>
      <c r="P33" s="34">
        <v>428.19843320000001</v>
      </c>
      <c r="Q33" s="34">
        <v>479.09129309999997</v>
      </c>
      <c r="R33" s="34">
        <v>483.1413197</v>
      </c>
      <c r="S33" s="34">
        <v>564.12901099999999</v>
      </c>
      <c r="T33" s="34">
        <v>709.18933800000002</v>
      </c>
      <c r="U33" s="34">
        <v>947.75504569999998</v>
      </c>
      <c r="V33" s="34">
        <v>1181.6138699999999</v>
      </c>
      <c r="W33" s="34">
        <v>1154.178578</v>
      </c>
      <c r="X33" s="34">
        <v>1054.0559459999999</v>
      </c>
      <c r="Y33" s="34">
        <v>1176.8195350000001</v>
      </c>
      <c r="Z33" s="34">
        <v>1202.9760020000001</v>
      </c>
      <c r="AA33" s="34">
        <v>1042.2397539999999</v>
      </c>
      <c r="AB33" s="34">
        <v>1253.5553170000001</v>
      </c>
      <c r="AC33" s="34">
        <v>1701.6781329999999</v>
      </c>
      <c r="AD33" s="34">
        <v>2203.6466150000001</v>
      </c>
      <c r="AE33" s="34">
        <v>2477.9753580000001</v>
      </c>
      <c r="AF33" s="34">
        <v>2945.8320399999998</v>
      </c>
      <c r="AG33" s="34">
        <v>2972.7289529999998</v>
      </c>
      <c r="AH33" s="34">
        <v>3040.9893959999999</v>
      </c>
      <c r="AI33" s="34">
        <v>2973.3804009999999</v>
      </c>
      <c r="AJ33" s="34">
        <v>2970.1184250000001</v>
      </c>
      <c r="AK33" s="34">
        <v>3219.9142419999998</v>
      </c>
      <c r="AL33" s="34">
        <v>3221.6890560000002</v>
      </c>
      <c r="AM33" s="34">
        <v>3258.9824279999998</v>
      </c>
      <c r="AN33" s="34">
        <v>3039.9649439999998</v>
      </c>
      <c r="AO33" s="34">
        <v>3405.821058</v>
      </c>
      <c r="AP33" s="34">
        <v>3522.310821</v>
      </c>
      <c r="AQ33" s="34">
        <v>3278.016079</v>
      </c>
      <c r="AR33" s="34">
        <v>3190.6248110000001</v>
      </c>
      <c r="AS33" s="34">
        <v>4330.9723690000001</v>
      </c>
      <c r="AT33" s="34">
        <v>5073.5204080000003</v>
      </c>
      <c r="AU33" s="34">
        <v>5513.3310629999996</v>
      </c>
      <c r="AV33" s="34">
        <v>5521.9906080000001</v>
      </c>
      <c r="AW33" s="34">
        <v>5832.7370520000004</v>
      </c>
      <c r="AX33" s="34">
        <v>5713.5439310000002</v>
      </c>
      <c r="AY33" s="34">
        <v>5255.7765330000002</v>
      </c>
      <c r="AZ33" s="34">
        <v>6434.8124850000004</v>
      </c>
      <c r="BA33" s="34">
        <v>7617.3100409999997</v>
      </c>
      <c r="BB33" s="34">
        <v>7050.573472</v>
      </c>
      <c r="BC33" s="34">
        <v>7224.9127372856401</v>
      </c>
      <c r="BD33" s="34">
        <v>7495.2208659999997</v>
      </c>
      <c r="BE33" s="34">
        <v>6402.910183</v>
      </c>
      <c r="BF33" s="34">
        <v>6982.9174919999996</v>
      </c>
      <c r="BG33" s="34">
        <v>7296.0921420000004</v>
      </c>
      <c r="BH33" s="34">
        <v>7503.8785879999996</v>
      </c>
      <c r="BI33" s="34">
        <v>7203.0642209999996</v>
      </c>
      <c r="BJ33" s="34">
        <v>6404.8999320000003</v>
      </c>
    </row>
    <row r="34" spans="1:62">
      <c r="A34" s="1" t="s">
        <v>1034</v>
      </c>
      <c r="B34" s="34">
        <v>74.687346969999993</v>
      </c>
      <c r="C34" s="34">
        <v>80.688063729999996</v>
      </c>
      <c r="D34" s="34">
        <v>80.212711670000004</v>
      </c>
      <c r="E34" s="34">
        <v>81.917909230000006</v>
      </c>
      <c r="F34" s="34">
        <v>88.290115779999994</v>
      </c>
      <c r="G34" s="34">
        <v>91.830374649999996</v>
      </c>
      <c r="H34" s="34">
        <v>94.398235690000007</v>
      </c>
      <c r="I34" s="34">
        <v>95.896483919999994</v>
      </c>
      <c r="J34" s="34">
        <v>109.9459104</v>
      </c>
      <c r="K34" s="34">
        <v>105.70710130000001</v>
      </c>
      <c r="L34" s="34">
        <v>104.41201649999999</v>
      </c>
      <c r="M34" s="34">
        <v>109.45335919999999</v>
      </c>
      <c r="N34" s="34">
        <v>123.3106512</v>
      </c>
      <c r="O34" s="34">
        <v>143.11584629999999</v>
      </c>
      <c r="P34" s="34">
        <v>146.22776730000001</v>
      </c>
      <c r="Q34" s="34">
        <v>193.3549821</v>
      </c>
      <c r="R34" s="34">
        <v>225.9131745</v>
      </c>
      <c r="S34" s="34">
        <v>248.6860332</v>
      </c>
      <c r="T34" s="34">
        <v>292.47000889999998</v>
      </c>
      <c r="U34" s="34">
        <v>327.34122489999999</v>
      </c>
      <c r="V34" s="34">
        <v>362.40014880000001</v>
      </c>
      <c r="W34" s="34">
        <v>306.83223930000003</v>
      </c>
      <c r="X34" s="34">
        <v>320.4298321</v>
      </c>
      <c r="Y34" s="34">
        <v>273.50138179999999</v>
      </c>
      <c r="Z34" s="34">
        <v>257.35363660000002</v>
      </c>
      <c r="AA34" s="34">
        <v>340.20138900000001</v>
      </c>
      <c r="AB34" s="34">
        <v>432.01175869999997</v>
      </c>
      <c r="AC34" s="34">
        <v>453.7462185</v>
      </c>
      <c r="AD34" s="34">
        <v>469.52916699999997</v>
      </c>
      <c r="AE34" s="34">
        <v>449.39889579999999</v>
      </c>
      <c r="AF34" s="34">
        <v>513.30418770000006</v>
      </c>
      <c r="AG34" s="34">
        <v>478.5032764</v>
      </c>
      <c r="AH34" s="34">
        <v>477.1223243</v>
      </c>
      <c r="AI34" s="34">
        <v>419.80270380000002</v>
      </c>
      <c r="AJ34" s="34">
        <v>271.50549760000001</v>
      </c>
      <c r="AK34" s="34">
        <v>346.10819620000001</v>
      </c>
      <c r="AL34" s="34">
        <v>304.63107550000001</v>
      </c>
      <c r="AM34" s="34">
        <v>276.42159609999999</v>
      </c>
      <c r="AN34" s="34">
        <v>278.33190150000001</v>
      </c>
      <c r="AO34" s="34">
        <v>280.90842420000001</v>
      </c>
      <c r="AP34" s="34">
        <v>251.2072914</v>
      </c>
      <c r="AQ34" s="34">
        <v>250.35714590000001</v>
      </c>
      <c r="AR34" s="34">
        <v>260.74545869999997</v>
      </c>
      <c r="AS34" s="34">
        <v>293.66154899999998</v>
      </c>
      <c r="AT34" s="34">
        <v>320.7368123</v>
      </c>
      <c r="AU34" s="34">
        <v>331.1630882</v>
      </c>
      <c r="AV34" s="34">
        <v>354.67086330000001</v>
      </c>
      <c r="AW34" s="34">
        <v>404.37454289999999</v>
      </c>
      <c r="AX34" s="34">
        <v>464.56120470000002</v>
      </c>
      <c r="AY34" s="34">
        <v>474.70562749999999</v>
      </c>
      <c r="AZ34" s="34">
        <v>488.42173580000002</v>
      </c>
      <c r="BA34" s="34">
        <v>551.74972190000005</v>
      </c>
      <c r="BB34" s="34">
        <v>565.80120710000006</v>
      </c>
      <c r="BC34" s="34">
        <v>380.29791114378003</v>
      </c>
      <c r="BD34" s="34">
        <v>424.44913170000001</v>
      </c>
      <c r="BE34" s="34">
        <v>377.42291770000003</v>
      </c>
      <c r="BF34" s="34">
        <v>402.19164510000002</v>
      </c>
      <c r="BG34" s="34">
        <v>450.9006579</v>
      </c>
      <c r="BH34" s="34">
        <v>475.9538139</v>
      </c>
      <c r="BI34" s="34">
        <v>467.9080323</v>
      </c>
      <c r="BJ34" s="34">
        <v>492.79587120000002</v>
      </c>
    </row>
    <row r="35" spans="1:62">
      <c r="A35" s="1" t="s">
        <v>1033</v>
      </c>
      <c r="B35" s="34">
        <v>2259.2942849999999</v>
      </c>
      <c r="C35" s="34">
        <v>2240.433039</v>
      </c>
      <c r="D35" s="34">
        <v>2268.5853459999998</v>
      </c>
      <c r="E35" s="34">
        <v>2374.4984479999998</v>
      </c>
      <c r="F35" s="34">
        <v>2555.1111460000002</v>
      </c>
      <c r="G35" s="34">
        <v>2770.3618040000001</v>
      </c>
      <c r="H35" s="34">
        <v>3047.106147</v>
      </c>
      <c r="I35" s="34">
        <v>3217.159294</v>
      </c>
      <c r="J35" s="34">
        <v>3462.678872</v>
      </c>
      <c r="K35" s="34">
        <v>3763.953379</v>
      </c>
      <c r="L35" s="34">
        <v>4121.9328139999998</v>
      </c>
      <c r="M35" s="34">
        <v>4520.1628780000001</v>
      </c>
      <c r="N35" s="34">
        <v>5089.5879020000002</v>
      </c>
      <c r="O35" s="34">
        <v>5838.6608939999996</v>
      </c>
      <c r="P35" s="34">
        <v>7033.0110210000003</v>
      </c>
      <c r="Q35" s="34">
        <v>7511.2113429999999</v>
      </c>
      <c r="R35" s="34">
        <v>8809.2646600000007</v>
      </c>
      <c r="S35" s="34">
        <v>8919.0574610000003</v>
      </c>
      <c r="T35" s="34">
        <v>9123.6913339999992</v>
      </c>
      <c r="U35" s="34">
        <v>10043.660959999999</v>
      </c>
      <c r="V35" s="34">
        <v>11170.563969999999</v>
      </c>
      <c r="W35" s="34">
        <v>12337.466249999999</v>
      </c>
      <c r="X35" s="34">
        <v>12481.87479</v>
      </c>
      <c r="Y35" s="34">
        <v>13425.12249</v>
      </c>
      <c r="Z35" s="34">
        <v>13877.917079999999</v>
      </c>
      <c r="AA35" s="34">
        <v>14114.80776</v>
      </c>
      <c r="AB35" s="34">
        <v>14461.069240000001</v>
      </c>
      <c r="AC35" s="34">
        <v>16308.966969999999</v>
      </c>
      <c r="AD35" s="34">
        <v>18936.964100000001</v>
      </c>
      <c r="AE35" s="34">
        <v>20715.63148</v>
      </c>
      <c r="AF35" s="34">
        <v>21448.361959999998</v>
      </c>
      <c r="AG35" s="34">
        <v>21768.343290000001</v>
      </c>
      <c r="AH35" s="34">
        <v>20879.848330000001</v>
      </c>
      <c r="AI35" s="34">
        <v>20121.161250000001</v>
      </c>
      <c r="AJ35" s="34">
        <v>19935.381460000001</v>
      </c>
      <c r="AK35" s="34">
        <v>20613.78788</v>
      </c>
      <c r="AL35" s="34">
        <v>21227.347529999999</v>
      </c>
      <c r="AM35" s="34">
        <v>21901.562849999998</v>
      </c>
      <c r="AN35" s="34">
        <v>21024.585070000001</v>
      </c>
      <c r="AO35" s="34">
        <v>22315.24667</v>
      </c>
      <c r="AP35" s="34">
        <v>24271.002059999999</v>
      </c>
      <c r="AQ35" s="34">
        <v>23822.060119999998</v>
      </c>
      <c r="AR35" s="34">
        <v>24255.33858</v>
      </c>
      <c r="AS35" s="34">
        <v>28300.463100000001</v>
      </c>
      <c r="AT35" s="34">
        <v>32143.681410000001</v>
      </c>
      <c r="AU35" s="34">
        <v>36382.507919999996</v>
      </c>
      <c r="AV35" s="34">
        <v>40504.060729999997</v>
      </c>
      <c r="AW35" s="34">
        <v>44659.895140000001</v>
      </c>
      <c r="AX35" s="34">
        <v>46710.505579999997</v>
      </c>
      <c r="AY35" s="34">
        <v>40876.310149999998</v>
      </c>
      <c r="AZ35" s="34">
        <v>47562.083429999999</v>
      </c>
      <c r="BA35" s="34">
        <v>52223.696109999997</v>
      </c>
      <c r="BB35" s="34">
        <v>52669.089959999998</v>
      </c>
      <c r="BC35" s="34">
        <v>52635.174958043302</v>
      </c>
      <c r="BD35" s="34">
        <v>50955.998319999999</v>
      </c>
      <c r="BE35" s="34">
        <v>43596.135540000003</v>
      </c>
      <c r="BF35" s="34">
        <v>42315.603710000003</v>
      </c>
      <c r="BG35" s="34">
        <v>45129.356440000003</v>
      </c>
      <c r="BH35" s="34">
        <v>46454.743390000003</v>
      </c>
      <c r="BI35" s="34">
        <v>46326.672639999997</v>
      </c>
      <c r="BJ35" s="34">
        <v>43258.176319999999</v>
      </c>
    </row>
    <row r="36" spans="1:62">
      <c r="A36" s="1" t="s">
        <v>1155</v>
      </c>
      <c r="B36" s="34">
        <v>1787.3603479999999</v>
      </c>
      <c r="C36" s="34">
        <v>1971.316323</v>
      </c>
      <c r="D36" s="34">
        <v>2131.3916519999998</v>
      </c>
      <c r="E36" s="34">
        <v>2294.182847</v>
      </c>
      <c r="F36" s="34">
        <v>2501.2931899999999</v>
      </c>
      <c r="G36" s="34">
        <v>2620.475547</v>
      </c>
      <c r="H36" s="34">
        <v>2784.7335480000002</v>
      </c>
      <c r="I36" s="34">
        <v>2960.7225859999999</v>
      </c>
      <c r="J36" s="34">
        <v>3121.8890310000002</v>
      </c>
      <c r="K36" s="34">
        <v>3344.7836029999999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19410.189350000001</v>
      </c>
      <c r="W36" s="34">
        <v>17679.868869999998</v>
      </c>
      <c r="X36" s="34">
        <v>18015.105960000001</v>
      </c>
      <c r="Y36" s="34">
        <v>17874.250650000002</v>
      </c>
      <c r="Z36" s="34">
        <v>17005.534240000001</v>
      </c>
      <c r="AA36" s="34">
        <v>17166.518499999998</v>
      </c>
      <c r="AB36" s="34">
        <v>24480.422559999999</v>
      </c>
      <c r="AC36" s="34">
        <v>30466.10902</v>
      </c>
      <c r="AD36" s="34">
        <v>32717.920450000001</v>
      </c>
      <c r="AE36" s="34">
        <v>31334.979080000001</v>
      </c>
      <c r="AF36" s="34">
        <v>39607.819089999997</v>
      </c>
      <c r="AG36" s="34">
        <v>39577.748749999999</v>
      </c>
      <c r="AH36" s="34">
        <v>40747.925459999999</v>
      </c>
      <c r="AI36" s="34">
        <v>39270.114130000002</v>
      </c>
      <c r="AJ36" s="34">
        <v>43128.014109999996</v>
      </c>
      <c r="AK36" s="34">
        <v>50155.974130000002</v>
      </c>
      <c r="AL36" s="34">
        <v>48144.579129999998</v>
      </c>
      <c r="AM36" s="34">
        <v>41631.438860000002</v>
      </c>
      <c r="AN36" s="34">
        <v>42740.12818</v>
      </c>
      <c r="AO36" s="34">
        <v>41786.23414</v>
      </c>
      <c r="AP36" s="34">
        <v>38952.034200000002</v>
      </c>
      <c r="AQ36" s="34">
        <v>39727.846669999999</v>
      </c>
      <c r="AR36" s="34">
        <v>42578.763140000003</v>
      </c>
      <c r="AS36" s="34">
        <v>49470.397129999998</v>
      </c>
      <c r="AT36" s="34">
        <v>54878.470999999998</v>
      </c>
      <c r="AU36" s="34">
        <v>56546.785660000001</v>
      </c>
      <c r="AV36" s="34">
        <v>59300.61722</v>
      </c>
      <c r="AW36" s="34">
        <v>65359.519220000002</v>
      </c>
      <c r="AX36" s="34">
        <v>74572.232369999998</v>
      </c>
      <c r="AY36" s="34">
        <v>72083.167700000005</v>
      </c>
      <c r="AZ36" s="34">
        <v>77117.126010000007</v>
      </c>
      <c r="BA36" s="34">
        <v>91254.034759999995</v>
      </c>
      <c r="BB36" s="34">
        <v>86547.670889999994</v>
      </c>
      <c r="BC36" s="34">
        <v>88109.486752403696</v>
      </c>
      <c r="BD36" s="34">
        <v>89684.707580000002</v>
      </c>
      <c r="BE36" s="34">
        <v>84776.142170000006</v>
      </c>
      <c r="BF36" s="34">
        <v>83073.280079999997</v>
      </c>
      <c r="BG36" s="34">
        <v>83352.088650000005</v>
      </c>
      <c r="BH36" s="34">
        <v>86388.404949999996</v>
      </c>
      <c r="BI36" s="34">
        <v>85334.519459999996</v>
      </c>
      <c r="BJ36" s="34">
        <v>87097.03645</v>
      </c>
    </row>
    <row r="37" spans="1:62">
      <c r="A37" s="1" t="s">
        <v>1037</v>
      </c>
      <c r="B37" s="34">
        <v>505.34932550000002</v>
      </c>
      <c r="C37" s="34">
        <v>555.13440260000004</v>
      </c>
      <c r="D37" s="34">
        <v>638.94536000000005</v>
      </c>
      <c r="E37" s="34">
        <v>655.2522487</v>
      </c>
      <c r="F37" s="34">
        <v>678.12810639999998</v>
      </c>
      <c r="G37" s="34">
        <v>670.39568580000002</v>
      </c>
      <c r="H37" s="34">
        <v>772.72571619999997</v>
      </c>
      <c r="I37" s="34">
        <v>753.12795789999996</v>
      </c>
      <c r="J37" s="34">
        <v>756.91200089999995</v>
      </c>
      <c r="K37" s="34">
        <v>870.31983849999995</v>
      </c>
      <c r="L37" s="34">
        <v>932.86156919999996</v>
      </c>
      <c r="M37" s="34">
        <v>1094.6822529999999</v>
      </c>
      <c r="N37" s="34">
        <v>1173.2183889999999</v>
      </c>
      <c r="O37" s="34">
        <v>1640.0297</v>
      </c>
      <c r="P37" s="34">
        <v>1554.3878030000001</v>
      </c>
      <c r="Q37" s="34">
        <v>719.59915750000005</v>
      </c>
      <c r="R37" s="34">
        <v>961.42460400000004</v>
      </c>
      <c r="S37" s="34">
        <v>1278.32816</v>
      </c>
      <c r="T37" s="34">
        <v>1441.942086</v>
      </c>
      <c r="U37" s="34">
        <v>1937.266572</v>
      </c>
      <c r="V37" s="34">
        <v>2542.7638059999999</v>
      </c>
      <c r="W37" s="34">
        <v>2979.6078790000001</v>
      </c>
      <c r="X37" s="34">
        <v>2156.513066</v>
      </c>
      <c r="Y37" s="34">
        <v>1709.4420689999999</v>
      </c>
      <c r="Z37" s="34">
        <v>1624.6319679999999</v>
      </c>
      <c r="AA37" s="34">
        <v>1444.2801380000001</v>
      </c>
      <c r="AB37" s="34">
        <v>1517.861345</v>
      </c>
      <c r="AC37" s="34">
        <v>1760.3063979999999</v>
      </c>
      <c r="AD37" s="34">
        <v>2026.837914</v>
      </c>
      <c r="AE37" s="34">
        <v>2288.5549409999999</v>
      </c>
      <c r="AF37" s="34">
        <v>2494.5267960000001</v>
      </c>
      <c r="AG37" s="34">
        <v>2803.5627140000001</v>
      </c>
      <c r="AH37" s="34">
        <v>3350.2140890000001</v>
      </c>
      <c r="AI37" s="34">
        <v>3535.17436</v>
      </c>
      <c r="AJ37" s="34">
        <v>4024.215228</v>
      </c>
      <c r="AK37" s="34">
        <v>5107.277513</v>
      </c>
      <c r="AL37" s="34">
        <v>5349.8052269999998</v>
      </c>
      <c r="AM37" s="34">
        <v>5745.3710760000004</v>
      </c>
      <c r="AN37" s="34">
        <v>5446.579522</v>
      </c>
      <c r="AO37" s="34">
        <v>4957.7775570000003</v>
      </c>
      <c r="AP37" s="34">
        <v>5074.9026160000003</v>
      </c>
      <c r="AQ37" s="34">
        <v>4574.5947159999996</v>
      </c>
      <c r="AR37" s="34">
        <v>4446.2493709999999</v>
      </c>
      <c r="AS37" s="34">
        <v>4772.5637230000002</v>
      </c>
      <c r="AT37" s="34">
        <v>6194.8527199999999</v>
      </c>
      <c r="AU37" s="34">
        <v>7598.5288769999997</v>
      </c>
      <c r="AV37" s="34">
        <v>9464.5485069999995</v>
      </c>
      <c r="AW37" s="34">
        <v>10502.350710000001</v>
      </c>
      <c r="AX37" s="34">
        <v>10751.481599999999</v>
      </c>
      <c r="AY37" s="34">
        <v>10208.90797</v>
      </c>
      <c r="AZ37" s="34">
        <v>12808.038339999999</v>
      </c>
      <c r="BA37" s="34">
        <v>14637.23344</v>
      </c>
      <c r="BB37" s="34">
        <v>15351.54074</v>
      </c>
      <c r="BC37" s="34">
        <v>15842.9364836273</v>
      </c>
      <c r="BD37" s="34">
        <v>14670.98891</v>
      </c>
      <c r="BE37" s="34">
        <v>13574.169239999999</v>
      </c>
      <c r="BF37" s="34">
        <v>13753.59215</v>
      </c>
      <c r="BG37" s="34">
        <v>14998.817059999999</v>
      </c>
      <c r="BH37" s="34">
        <v>15888.14436</v>
      </c>
      <c r="BI37" s="34">
        <v>14741.714400000001</v>
      </c>
      <c r="BJ37" s="34">
        <v>13231.70421</v>
      </c>
    </row>
    <row r="38" spans="1:62">
      <c r="A38" s="1" t="s">
        <v>147</v>
      </c>
      <c r="B38" s="34">
        <v>89.520541510000001</v>
      </c>
      <c r="C38" s="34">
        <v>75.805837929999996</v>
      </c>
      <c r="D38" s="34">
        <v>70.909411669999997</v>
      </c>
      <c r="E38" s="34">
        <v>74.313643450000001</v>
      </c>
      <c r="F38" s="34">
        <v>85.498555159999995</v>
      </c>
      <c r="G38" s="34">
        <v>98.486777750000002</v>
      </c>
      <c r="H38" s="34">
        <v>104.32456620000001</v>
      </c>
      <c r="I38" s="34">
        <v>96.589531940000001</v>
      </c>
      <c r="J38" s="34">
        <v>91.472718310000005</v>
      </c>
      <c r="K38" s="34">
        <v>100.1299033</v>
      </c>
      <c r="L38" s="34">
        <v>113.1629916</v>
      </c>
      <c r="M38" s="34">
        <v>118.6545778</v>
      </c>
      <c r="N38" s="34">
        <v>131.8835612</v>
      </c>
      <c r="O38" s="34">
        <v>157.09037430000001</v>
      </c>
      <c r="P38" s="34">
        <v>160.14009369999999</v>
      </c>
      <c r="Q38" s="34">
        <v>178.34181960000001</v>
      </c>
      <c r="R38" s="34">
        <v>165.40554040000001</v>
      </c>
      <c r="S38" s="34">
        <v>185.4228329</v>
      </c>
      <c r="T38" s="34">
        <v>156.3963885</v>
      </c>
      <c r="U38" s="34">
        <v>183.98315220000001</v>
      </c>
      <c r="V38" s="34">
        <v>194.80472219999999</v>
      </c>
      <c r="W38" s="34">
        <v>197.07147449999999</v>
      </c>
      <c r="X38" s="34">
        <v>203.33491950000001</v>
      </c>
      <c r="Y38" s="34">
        <v>225.4319289</v>
      </c>
      <c r="Z38" s="34">
        <v>250.71396899999999</v>
      </c>
      <c r="AA38" s="34">
        <v>294.45884849999999</v>
      </c>
      <c r="AB38" s="34">
        <v>281.92812090000001</v>
      </c>
      <c r="AC38" s="34">
        <v>251.81195700000001</v>
      </c>
      <c r="AD38" s="34">
        <v>283.53769519999997</v>
      </c>
      <c r="AE38" s="34">
        <v>310.88191239999998</v>
      </c>
      <c r="AF38" s="34">
        <v>317.88467300000002</v>
      </c>
      <c r="AG38" s="34">
        <v>333.1421454</v>
      </c>
      <c r="AH38" s="34">
        <v>366.46069230000001</v>
      </c>
      <c r="AI38" s="34">
        <v>377.38983949999999</v>
      </c>
      <c r="AJ38" s="34">
        <v>473.49227869999999</v>
      </c>
      <c r="AK38" s="34">
        <v>609.65667919999999</v>
      </c>
      <c r="AL38" s="34">
        <v>709.4137551</v>
      </c>
      <c r="AM38" s="34">
        <v>781.74416429999997</v>
      </c>
      <c r="AN38" s="34">
        <v>828.58047929999998</v>
      </c>
      <c r="AO38" s="34">
        <v>873.28706169999998</v>
      </c>
      <c r="AP38" s="34">
        <v>959.37248360000001</v>
      </c>
      <c r="AQ38" s="34">
        <v>1053.1082429999999</v>
      </c>
      <c r="AR38" s="34">
        <v>1148.50829</v>
      </c>
      <c r="AS38" s="34">
        <v>1288.6432520000001</v>
      </c>
      <c r="AT38" s="34">
        <v>1508.6680980000001</v>
      </c>
      <c r="AU38" s="34">
        <v>1753.417829</v>
      </c>
      <c r="AV38" s="34">
        <v>2099.2294350000002</v>
      </c>
      <c r="AW38" s="34">
        <v>2693.9700630000002</v>
      </c>
      <c r="AX38" s="34">
        <v>3468.3046020000002</v>
      </c>
      <c r="AY38" s="34">
        <v>3832.2364320000001</v>
      </c>
      <c r="AZ38" s="34">
        <v>4550.4531079999997</v>
      </c>
      <c r="BA38" s="34">
        <v>5614.3521350000001</v>
      </c>
      <c r="BB38" s="34">
        <v>6300.6151179999997</v>
      </c>
      <c r="BC38" s="34">
        <v>7020.3384845365799</v>
      </c>
      <c r="BD38" s="34">
        <v>7636.1166009999997</v>
      </c>
      <c r="BE38" s="34">
        <v>8016.4314350000004</v>
      </c>
      <c r="BF38" s="34">
        <v>8094.3633669999999</v>
      </c>
      <c r="BG38" s="34">
        <v>8816.9869049999998</v>
      </c>
      <c r="BH38" s="34">
        <v>9905.3420040000001</v>
      </c>
      <c r="BI38" s="34">
        <v>10143.838170000001</v>
      </c>
      <c r="BJ38" s="34">
        <v>10434.77519</v>
      </c>
    </row>
    <row r="39" spans="1:62">
      <c r="A39" s="1" t="s">
        <v>1029</v>
      </c>
      <c r="B39" s="34">
        <v>155.89963280000001</v>
      </c>
      <c r="C39" s="34">
        <v>170.24305050000001</v>
      </c>
      <c r="D39" s="34">
        <v>171.12863960000001</v>
      </c>
      <c r="E39" s="34">
        <v>194.2125298</v>
      </c>
      <c r="F39" s="34">
        <v>226.22704179999999</v>
      </c>
      <c r="G39" s="34">
        <v>217.6024415</v>
      </c>
      <c r="H39" s="34">
        <v>233.61490549999999</v>
      </c>
      <c r="I39" s="34">
        <v>238.31048770000001</v>
      </c>
      <c r="J39" s="34">
        <v>271.85334549999999</v>
      </c>
      <c r="K39" s="34">
        <v>277.97212789999998</v>
      </c>
      <c r="L39" s="34">
        <v>285.27303430000001</v>
      </c>
      <c r="M39" s="34">
        <v>297.28036059999999</v>
      </c>
      <c r="N39" s="34">
        <v>331.67001010000001</v>
      </c>
      <c r="O39" s="34">
        <v>429.4129337</v>
      </c>
      <c r="P39" s="34">
        <v>501.5526782</v>
      </c>
      <c r="Q39" s="34">
        <v>607.2350017</v>
      </c>
      <c r="R39" s="34">
        <v>694.38324709999995</v>
      </c>
      <c r="S39" s="34">
        <v>891.63460229999998</v>
      </c>
      <c r="T39" s="34">
        <v>1074.8620080000001</v>
      </c>
      <c r="U39" s="34">
        <v>1189.568397</v>
      </c>
      <c r="V39" s="34">
        <v>1266.623877</v>
      </c>
      <c r="W39" s="34">
        <v>1004.634373</v>
      </c>
      <c r="X39" s="34">
        <v>863.33343260000004</v>
      </c>
      <c r="Y39" s="34">
        <v>747.7561819</v>
      </c>
      <c r="Z39" s="34">
        <v>717.89766750000001</v>
      </c>
      <c r="AA39" s="34">
        <v>703.5195152</v>
      </c>
      <c r="AB39" s="34">
        <v>888.52858049999998</v>
      </c>
      <c r="AC39" s="34">
        <v>942.93100749999996</v>
      </c>
      <c r="AD39" s="34">
        <v>924.32724519999999</v>
      </c>
      <c r="AE39" s="34">
        <v>848.28954429999999</v>
      </c>
      <c r="AF39" s="34">
        <v>905.32201950000001</v>
      </c>
      <c r="AG39" s="34">
        <v>848.75311590000001</v>
      </c>
      <c r="AH39" s="34">
        <v>870.48070170000005</v>
      </c>
      <c r="AI39" s="34">
        <v>832.28305869999997</v>
      </c>
      <c r="AJ39" s="34">
        <v>605.26336690000005</v>
      </c>
      <c r="AK39" s="34">
        <v>774.6713757</v>
      </c>
      <c r="AL39" s="34">
        <v>1232.2536560000001</v>
      </c>
      <c r="AM39" s="34">
        <v>1192.7794610000001</v>
      </c>
      <c r="AN39" s="34">
        <v>1258.5247099999999</v>
      </c>
      <c r="AO39" s="34">
        <v>1177.040794</v>
      </c>
      <c r="AP39" s="34">
        <v>1007.46739</v>
      </c>
      <c r="AQ39" s="34">
        <v>997.47878430000003</v>
      </c>
      <c r="AR39" s="34">
        <v>1047.7522650000001</v>
      </c>
      <c r="AS39" s="34">
        <v>1207.5126479999999</v>
      </c>
      <c r="AT39" s="34">
        <v>1308.28782</v>
      </c>
      <c r="AU39" s="34">
        <v>1309.591653</v>
      </c>
      <c r="AV39" s="34">
        <v>1347.988824</v>
      </c>
      <c r="AW39" s="34">
        <v>1500.167805</v>
      </c>
      <c r="AX39" s="34">
        <v>1738.1921010000001</v>
      </c>
      <c r="AY39" s="34">
        <v>1689.3447619999999</v>
      </c>
      <c r="AZ39" s="34">
        <v>1701.475702</v>
      </c>
      <c r="BA39" s="34">
        <v>1744.938897</v>
      </c>
      <c r="BB39" s="34">
        <v>1684.7815860000001</v>
      </c>
      <c r="BC39" s="34">
        <v>1935.9468453070001</v>
      </c>
      <c r="BD39" s="34">
        <v>1561.4644129999999</v>
      </c>
      <c r="BE39" s="34">
        <v>1972.5456830000001</v>
      </c>
      <c r="BF39" s="34">
        <v>2013.3814480000001</v>
      </c>
      <c r="BG39" s="34">
        <v>2111.0265570000001</v>
      </c>
      <c r="BH39" s="34">
        <v>2314.0509579999998</v>
      </c>
      <c r="BI39" s="34">
        <v>2276.332394</v>
      </c>
      <c r="BJ39" s="34">
        <v>2325.7237049999999</v>
      </c>
    </row>
    <row r="40" spans="1:62">
      <c r="A40" s="1" t="s">
        <v>1021</v>
      </c>
      <c r="B40" s="34">
        <v>118.64314520000001</v>
      </c>
      <c r="C40" s="34">
        <v>123.5148081</v>
      </c>
      <c r="D40" s="34">
        <v>128.59463719999999</v>
      </c>
      <c r="E40" s="34">
        <v>130.17527419999999</v>
      </c>
      <c r="F40" s="34">
        <v>137.62976409999999</v>
      </c>
      <c r="G40" s="34">
        <v>141.00251499999999</v>
      </c>
      <c r="H40" s="34">
        <v>144.01536530000001</v>
      </c>
      <c r="I40" s="34">
        <v>154.67789070000001</v>
      </c>
      <c r="J40" s="34">
        <v>168.7021488</v>
      </c>
      <c r="K40" s="34">
        <v>173.12171760000001</v>
      </c>
      <c r="L40" s="34">
        <v>176.5737092</v>
      </c>
      <c r="M40" s="34">
        <v>184.9034758</v>
      </c>
      <c r="N40" s="34">
        <v>218.17605359999999</v>
      </c>
      <c r="O40" s="34">
        <v>269.59229599999998</v>
      </c>
      <c r="P40" s="34">
        <v>297.686036</v>
      </c>
      <c r="Q40" s="34">
        <v>383.44054690000002</v>
      </c>
      <c r="R40" s="34">
        <v>378.12362159999998</v>
      </c>
      <c r="S40" s="34">
        <v>430.3813993</v>
      </c>
      <c r="T40" s="34">
        <v>574.16638950000004</v>
      </c>
      <c r="U40" s="34">
        <v>707.54428959999996</v>
      </c>
      <c r="V40" s="34">
        <v>774.18524339999999</v>
      </c>
      <c r="W40" s="34">
        <v>743.76016040000002</v>
      </c>
      <c r="X40" s="34">
        <v>721.21630689999995</v>
      </c>
      <c r="Y40" s="34">
        <v>726.50595520000002</v>
      </c>
      <c r="Z40" s="34">
        <v>749.33906620000005</v>
      </c>
      <c r="AA40" s="34">
        <v>848.47327949999999</v>
      </c>
      <c r="AB40" s="34">
        <v>1140.597182</v>
      </c>
      <c r="AC40" s="34">
        <v>1216.0644669999999</v>
      </c>
      <c r="AD40" s="34">
        <v>1104.7937529999999</v>
      </c>
      <c r="AE40" s="34">
        <v>963.83267809999995</v>
      </c>
      <c r="AF40" s="34">
        <v>1045.364362</v>
      </c>
      <c r="AG40" s="34">
        <v>975.47194890000003</v>
      </c>
      <c r="AH40" s="34">
        <v>965.78073889999996</v>
      </c>
      <c r="AI40" s="34">
        <v>1257.9057089999999</v>
      </c>
      <c r="AJ40" s="34">
        <v>672.84868800000004</v>
      </c>
      <c r="AK40" s="34">
        <v>798.88131020000003</v>
      </c>
      <c r="AL40" s="34">
        <v>794.0511616</v>
      </c>
      <c r="AM40" s="34">
        <v>752.16982370000005</v>
      </c>
      <c r="AN40" s="34">
        <v>767.34036030000004</v>
      </c>
      <c r="AO40" s="34">
        <v>765.31033149999996</v>
      </c>
      <c r="AP40" s="34">
        <v>681.10204299999998</v>
      </c>
      <c r="AQ40" s="34">
        <v>687.6481344</v>
      </c>
      <c r="AR40" s="34">
        <v>759.11185139999998</v>
      </c>
      <c r="AS40" s="34">
        <v>950.56486370000005</v>
      </c>
      <c r="AT40" s="34">
        <v>1090.7853319999999</v>
      </c>
      <c r="AU40" s="34">
        <v>1100.1749259999999</v>
      </c>
      <c r="AV40" s="34">
        <v>1147.4366</v>
      </c>
      <c r="AW40" s="34">
        <v>1277.516807</v>
      </c>
      <c r="AX40" s="34">
        <v>1439.547804</v>
      </c>
      <c r="AY40" s="34">
        <v>1411.4745720000001</v>
      </c>
      <c r="AZ40" s="34">
        <v>1352.302275</v>
      </c>
      <c r="BA40" s="34">
        <v>1465.145788</v>
      </c>
      <c r="BB40" s="34">
        <v>1403.522915</v>
      </c>
      <c r="BC40" s="34">
        <v>1527.7512566795399</v>
      </c>
      <c r="BD40" s="34">
        <v>1604.214035</v>
      </c>
      <c r="BE40" s="34">
        <v>1382.5097900000001</v>
      </c>
      <c r="BF40" s="34">
        <v>1413.2559570000001</v>
      </c>
      <c r="BG40" s="34">
        <v>1469.4475</v>
      </c>
      <c r="BH40" s="34">
        <v>1585.240534</v>
      </c>
      <c r="BI40" s="34">
        <v>1533.0956880000001</v>
      </c>
      <c r="BJ40" s="34">
        <v>1537.130218</v>
      </c>
    </row>
    <row r="41" spans="1:62">
      <c r="A41" s="1" t="s">
        <v>1040</v>
      </c>
      <c r="B41" s="34">
        <v>220.3139899</v>
      </c>
      <c r="C41" s="34">
        <v>197.39135920000001</v>
      </c>
      <c r="D41" s="34">
        <v>235.6335244</v>
      </c>
      <c r="E41" s="34">
        <v>377.42987849999997</v>
      </c>
      <c r="F41" s="34">
        <v>170.467005</v>
      </c>
      <c r="G41" s="34">
        <v>232.81112780000001</v>
      </c>
      <c r="H41" s="34">
        <v>253.75920869999999</v>
      </c>
      <c r="I41" s="34">
        <v>184.13043920000001</v>
      </c>
      <c r="J41" s="34">
        <v>206.71495110000001</v>
      </c>
      <c r="K41" s="34">
        <v>258.60647669999997</v>
      </c>
      <c r="L41" s="34">
        <v>243.74978089999999</v>
      </c>
      <c r="M41" s="34">
        <v>272.06542949999999</v>
      </c>
      <c r="N41" s="34">
        <v>292.29712549999999</v>
      </c>
      <c r="O41" s="34">
        <v>362.8435642</v>
      </c>
      <c r="P41" s="34">
        <v>430.70215780000001</v>
      </c>
      <c r="Q41" s="34">
        <v>446.97554029999998</v>
      </c>
      <c r="R41" s="34">
        <v>409.52422530000001</v>
      </c>
      <c r="S41" s="34">
        <v>509.06677029999997</v>
      </c>
      <c r="T41" s="34">
        <v>615.97890759999996</v>
      </c>
      <c r="U41" s="34">
        <v>587.15158480000002</v>
      </c>
      <c r="V41" s="34">
        <v>546.11249950000001</v>
      </c>
      <c r="W41" s="34">
        <v>463.67117200000001</v>
      </c>
      <c r="X41" s="34">
        <v>492.53249119999998</v>
      </c>
      <c r="Y41" s="34">
        <v>387.5076636</v>
      </c>
      <c r="Z41" s="34">
        <v>269.84272429999999</v>
      </c>
      <c r="AA41" s="34">
        <v>240.78809820000001</v>
      </c>
      <c r="AB41" s="34">
        <v>263.83130030000001</v>
      </c>
      <c r="AC41" s="34">
        <v>243.00478570000001</v>
      </c>
      <c r="AD41" s="34">
        <v>273.12781940000002</v>
      </c>
      <c r="AE41" s="34">
        <v>269.59287590000002</v>
      </c>
      <c r="AF41" s="34">
        <v>270.13054340000002</v>
      </c>
      <c r="AG41" s="34">
        <v>268.2924969</v>
      </c>
      <c r="AH41" s="34">
        <v>220.36800729999999</v>
      </c>
      <c r="AI41" s="34">
        <v>275.82161689999998</v>
      </c>
      <c r="AJ41" s="34">
        <v>145.09560350000001</v>
      </c>
      <c r="AK41" s="34">
        <v>135.82359360000001</v>
      </c>
      <c r="AL41" s="34">
        <v>134.9951648</v>
      </c>
      <c r="AM41" s="34">
        <v>138.97904819999999</v>
      </c>
      <c r="AN41" s="34">
        <v>138.58910030000001</v>
      </c>
      <c r="AO41" s="34">
        <v>102.5979732</v>
      </c>
      <c r="AP41" s="34">
        <v>405.21621859999999</v>
      </c>
      <c r="AQ41" s="34">
        <v>153.5910441</v>
      </c>
      <c r="AR41" s="34">
        <v>175.009951</v>
      </c>
      <c r="AS41" s="34">
        <v>173.79612520000001</v>
      </c>
      <c r="AT41" s="34">
        <v>194.04000260000001</v>
      </c>
      <c r="AU41" s="34">
        <v>218.38622670000001</v>
      </c>
      <c r="AV41" s="34">
        <v>255.43304319999999</v>
      </c>
      <c r="AW41" s="34">
        <v>286.33047249999998</v>
      </c>
      <c r="AX41" s="34">
        <v>327.5637218</v>
      </c>
      <c r="AY41" s="34">
        <v>298.61969160000001</v>
      </c>
      <c r="AZ41" s="34">
        <v>334.02157770000002</v>
      </c>
      <c r="BA41" s="34">
        <v>387.08247699999998</v>
      </c>
      <c r="BB41" s="34">
        <v>424.6003738</v>
      </c>
      <c r="BC41" s="34">
        <v>457.96374750963201</v>
      </c>
      <c r="BD41" s="34">
        <v>486.78709509999999</v>
      </c>
      <c r="BE41" s="34">
        <v>497.31703909999999</v>
      </c>
      <c r="BF41" s="34">
        <v>471.31882250000001</v>
      </c>
      <c r="BG41" s="34">
        <v>467.07423169999998</v>
      </c>
      <c r="BH41" s="34">
        <v>560.80735819999995</v>
      </c>
      <c r="BI41" s="34">
        <v>580.71687059999999</v>
      </c>
      <c r="BJ41" s="34">
        <v>543.95039250000002</v>
      </c>
    </row>
    <row r="42" spans="1:62">
      <c r="A42" s="1" t="s">
        <v>1042</v>
      </c>
      <c r="B42" s="34">
        <v>129.37033640000001</v>
      </c>
      <c r="C42" s="34">
        <v>145.40597880000001</v>
      </c>
      <c r="D42" s="34">
        <v>155.73852719999999</v>
      </c>
      <c r="E42" s="34">
        <v>157.0558661</v>
      </c>
      <c r="F42" s="34">
        <v>165.0091659</v>
      </c>
      <c r="G42" s="34">
        <v>171.64614159999999</v>
      </c>
      <c r="H42" s="34">
        <v>185.89225519999999</v>
      </c>
      <c r="I42" s="34">
        <v>194.6603356</v>
      </c>
      <c r="J42" s="34">
        <v>200.3950179</v>
      </c>
      <c r="K42" s="34">
        <v>205.53402940000001</v>
      </c>
      <c r="L42" s="34">
        <v>207.2213002</v>
      </c>
      <c r="M42" s="34">
        <v>235.8372808</v>
      </c>
      <c r="N42" s="34">
        <v>291.97749240000002</v>
      </c>
      <c r="O42" s="34">
        <v>374.12770289999997</v>
      </c>
      <c r="P42" s="34">
        <v>392.32108419999997</v>
      </c>
      <c r="Q42" s="34">
        <v>499.20195580000001</v>
      </c>
      <c r="R42" s="34">
        <v>476.85047880000002</v>
      </c>
      <c r="S42" s="34">
        <v>469.68793040000003</v>
      </c>
      <c r="T42" s="34">
        <v>523.91232909999997</v>
      </c>
      <c r="U42" s="34">
        <v>694.17682679999996</v>
      </c>
      <c r="V42" s="34">
        <v>959.42749749999996</v>
      </c>
      <c r="W42" s="34">
        <v>1088.9766990000001</v>
      </c>
      <c r="X42" s="34">
        <v>1146.305648</v>
      </c>
      <c r="Y42" s="34">
        <v>1080.816288</v>
      </c>
      <c r="Z42" s="34">
        <v>1098.4416409999999</v>
      </c>
      <c r="AA42" s="34">
        <v>1051.8736919999999</v>
      </c>
      <c r="AB42" s="34">
        <v>875.45167019999997</v>
      </c>
      <c r="AC42" s="34">
        <v>1058.2294220000001</v>
      </c>
      <c r="AD42" s="34">
        <v>991.51870540000004</v>
      </c>
      <c r="AE42" s="34">
        <v>1042.052007</v>
      </c>
      <c r="AF42" s="34">
        <v>1187.5497720000001</v>
      </c>
      <c r="AG42" s="34">
        <v>1124.8978629999999</v>
      </c>
      <c r="AH42" s="34">
        <v>1178.0271110000001</v>
      </c>
      <c r="AI42" s="34">
        <v>1048.612991</v>
      </c>
      <c r="AJ42" s="34">
        <v>672.16319480000004</v>
      </c>
      <c r="AK42" s="34">
        <v>781.52501170000005</v>
      </c>
      <c r="AL42" s="34">
        <v>912.01235120000001</v>
      </c>
      <c r="AM42" s="34">
        <v>810.07664439999996</v>
      </c>
      <c r="AN42" s="34">
        <v>660.47147740000003</v>
      </c>
      <c r="AO42" s="34">
        <v>774.71194479999997</v>
      </c>
      <c r="AP42" s="34">
        <v>1032.1375419999999</v>
      </c>
      <c r="AQ42" s="34">
        <v>869.1005017</v>
      </c>
      <c r="AR42" s="34">
        <v>916.58803780000005</v>
      </c>
      <c r="AS42" s="34">
        <v>1028.4152220000001</v>
      </c>
      <c r="AT42" s="34">
        <v>1326.5966880000001</v>
      </c>
      <c r="AU42" s="34">
        <v>1834.8800140000001</v>
      </c>
      <c r="AV42" s="34">
        <v>2153.491743</v>
      </c>
      <c r="AW42" s="34">
        <v>2262.8544099999999</v>
      </c>
      <c r="AX42" s="34">
        <v>2892.4169619999998</v>
      </c>
      <c r="AY42" s="34">
        <v>2336.1609570000001</v>
      </c>
      <c r="AZ42" s="34">
        <v>3073.5577840000001</v>
      </c>
      <c r="BA42" s="34">
        <v>3557.5561699999998</v>
      </c>
      <c r="BB42" s="34">
        <v>3923.0935089999998</v>
      </c>
      <c r="BC42" s="34">
        <v>3883.7468478740302</v>
      </c>
      <c r="BD42" s="34">
        <v>3776.4855680000001</v>
      </c>
      <c r="BE42" s="34">
        <v>2447.5393079999999</v>
      </c>
      <c r="BF42" s="34">
        <v>2050.9934149999999</v>
      </c>
      <c r="BG42" s="34">
        <v>2169.9915040000001</v>
      </c>
      <c r="BH42" s="34">
        <v>2606.615331</v>
      </c>
      <c r="BI42" s="34">
        <v>2369.7294940000002</v>
      </c>
      <c r="BJ42" s="34">
        <v>1846.1312969999999</v>
      </c>
    </row>
    <row r="43" spans="1:62">
      <c r="A43" s="1" t="s">
        <v>421</v>
      </c>
      <c r="B43" s="34">
        <v>251.04152289999999</v>
      </c>
      <c r="C43" s="34">
        <v>274.05226420000002</v>
      </c>
      <c r="D43" s="34">
        <v>289.91794579999998</v>
      </c>
      <c r="E43" s="34">
        <v>274.31495749999999</v>
      </c>
      <c r="F43" s="34">
        <v>328.65503210000003</v>
      </c>
      <c r="G43" s="34">
        <v>307.64686</v>
      </c>
      <c r="H43" s="34">
        <v>281.56604850000002</v>
      </c>
      <c r="I43" s="34">
        <v>293.64426409999999</v>
      </c>
      <c r="J43" s="34">
        <v>292.25749619999999</v>
      </c>
      <c r="K43" s="34">
        <v>307.99521019999997</v>
      </c>
      <c r="L43" s="34">
        <v>335.11820360000002</v>
      </c>
      <c r="M43" s="34">
        <v>355.40751740000002</v>
      </c>
      <c r="N43" s="34">
        <v>385.11252080000003</v>
      </c>
      <c r="O43" s="34">
        <v>448.03381719999999</v>
      </c>
      <c r="P43" s="34">
        <v>525.52572980000002</v>
      </c>
      <c r="Q43" s="34">
        <v>544.29090659999997</v>
      </c>
      <c r="R43" s="34">
        <v>623.42896910000002</v>
      </c>
      <c r="S43" s="34">
        <v>773.74581550000005</v>
      </c>
      <c r="T43" s="34">
        <v>904.0106935</v>
      </c>
      <c r="U43" s="34">
        <v>1061.8483450000001</v>
      </c>
      <c r="V43" s="34">
        <v>1241.6395869999999</v>
      </c>
      <c r="W43" s="34">
        <v>1323.376573</v>
      </c>
      <c r="X43" s="34">
        <v>1386.672969</v>
      </c>
      <c r="Y43" s="34">
        <v>1348.804623</v>
      </c>
      <c r="Z43" s="34">
        <v>1304.177177</v>
      </c>
      <c r="AA43" s="34">
        <v>1165.042414</v>
      </c>
      <c r="AB43" s="34">
        <v>1142.939363</v>
      </c>
      <c r="AC43" s="34">
        <v>1165.982397</v>
      </c>
      <c r="AD43" s="34">
        <v>1232.226154</v>
      </c>
      <c r="AE43" s="34">
        <v>1218.21101</v>
      </c>
      <c r="AF43" s="34">
        <v>1445.32863</v>
      </c>
      <c r="AG43" s="34">
        <v>1456.6943570000001</v>
      </c>
      <c r="AH43" s="34">
        <v>1697.112936</v>
      </c>
      <c r="AI43" s="34">
        <v>1893.5422120000001</v>
      </c>
      <c r="AJ43" s="34">
        <v>2284.8388129999998</v>
      </c>
      <c r="AK43" s="34">
        <v>2539.9128770000002</v>
      </c>
      <c r="AL43" s="34">
        <v>2620.5387620000001</v>
      </c>
      <c r="AM43" s="34">
        <v>2827.3795270000001</v>
      </c>
      <c r="AN43" s="34">
        <v>2566.0241940000001</v>
      </c>
      <c r="AO43" s="34">
        <v>2209.93165</v>
      </c>
      <c r="AP43" s="34">
        <v>2520.4810889999999</v>
      </c>
      <c r="AQ43" s="34">
        <v>2439.682456</v>
      </c>
      <c r="AR43" s="34">
        <v>2396.6271270000002</v>
      </c>
      <c r="AS43" s="34">
        <v>2281.401762</v>
      </c>
      <c r="AT43" s="34">
        <v>2782.6231849999999</v>
      </c>
      <c r="AU43" s="34">
        <v>3414.465158</v>
      </c>
      <c r="AV43" s="34">
        <v>3741.0928370000001</v>
      </c>
      <c r="AW43" s="34">
        <v>4714.0730549999998</v>
      </c>
      <c r="AX43" s="34">
        <v>5472.5365300000003</v>
      </c>
      <c r="AY43" s="34">
        <v>5193.2414580000004</v>
      </c>
      <c r="AZ43" s="34">
        <v>6336.7094740000002</v>
      </c>
      <c r="BA43" s="34">
        <v>7335.1669339999999</v>
      </c>
      <c r="BB43" s="34">
        <v>8050.2553719999996</v>
      </c>
      <c r="BC43" s="34">
        <v>8218.3478443147796</v>
      </c>
      <c r="BD43" s="34">
        <v>8114.3439209999997</v>
      </c>
      <c r="BE43" s="34">
        <v>6175.8760300000004</v>
      </c>
      <c r="BF43" s="34">
        <v>5870.7779570000002</v>
      </c>
      <c r="BG43" s="34">
        <v>6376.7067159999997</v>
      </c>
      <c r="BH43" s="34">
        <v>6729.5833320000002</v>
      </c>
      <c r="BI43" s="34">
        <v>6424.9794920000004</v>
      </c>
      <c r="BJ43" s="34">
        <v>5334.5560420000002</v>
      </c>
    </row>
    <row r="44" spans="1:62">
      <c r="A44" s="1" t="s">
        <v>1026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689.39848949999998</v>
      </c>
      <c r="W44" s="34">
        <v>618.19728689999999</v>
      </c>
      <c r="X44" s="34">
        <v>562.8150253</v>
      </c>
      <c r="Y44" s="34">
        <v>570.15412149999997</v>
      </c>
      <c r="Z44" s="34">
        <v>534.64911489999997</v>
      </c>
      <c r="AA44" s="34">
        <v>553.63240269999994</v>
      </c>
      <c r="AB44" s="34">
        <v>763.32535050000001</v>
      </c>
      <c r="AC44" s="34">
        <v>896.13317140000004</v>
      </c>
      <c r="AD44" s="34">
        <v>918.89976049999996</v>
      </c>
      <c r="AE44" s="34">
        <v>854.46520109999994</v>
      </c>
      <c r="AF44" s="34">
        <v>1043.790659</v>
      </c>
      <c r="AG44" s="34">
        <v>1000.556291</v>
      </c>
      <c r="AH44" s="34">
        <v>1047.965144</v>
      </c>
      <c r="AI44" s="34">
        <v>1008.038469</v>
      </c>
      <c r="AJ44" s="34">
        <v>690.4672501</v>
      </c>
      <c r="AK44" s="34">
        <v>838.17168400000003</v>
      </c>
      <c r="AL44" s="34">
        <v>810.54755209999996</v>
      </c>
      <c r="AM44" s="34">
        <v>726.05231490000006</v>
      </c>
      <c r="AN44" s="34">
        <v>718.12126939999996</v>
      </c>
      <c r="AO44" s="34">
        <v>723.17825549999998</v>
      </c>
      <c r="AP44" s="34">
        <v>647.42581180000002</v>
      </c>
      <c r="AQ44" s="34">
        <v>680.90557279999996</v>
      </c>
      <c r="AR44" s="34">
        <v>747.98886249999998</v>
      </c>
      <c r="AS44" s="34">
        <v>937.71089629999994</v>
      </c>
      <c r="AT44" s="34">
        <v>1061.075548</v>
      </c>
      <c r="AU44" s="34">
        <v>1069.0294260000001</v>
      </c>
      <c r="AV44" s="34">
        <v>1114.945281</v>
      </c>
      <c r="AW44" s="34">
        <v>1240.0925279999999</v>
      </c>
      <c r="AX44" s="34">
        <v>1393.216032</v>
      </c>
      <c r="AY44" s="34">
        <v>1344.7304059999999</v>
      </c>
      <c r="AZ44" s="34">
        <v>1316.491213</v>
      </c>
      <c r="BA44" s="34">
        <v>1447.945144</v>
      </c>
      <c r="BB44" s="34">
        <v>1403.3602519999999</v>
      </c>
      <c r="BC44" s="34">
        <v>1505.3372924714699</v>
      </c>
      <c r="BD44" s="34">
        <v>1513.830379</v>
      </c>
      <c r="BE44" s="34">
        <v>1242.5856080000001</v>
      </c>
      <c r="BF44" s="34">
        <v>1273.0509520000001</v>
      </c>
      <c r="BG44" s="34">
        <v>1323.8148430000001</v>
      </c>
      <c r="BH44" s="34">
        <v>1428.290463</v>
      </c>
      <c r="BI44" s="34">
        <v>1401.542312</v>
      </c>
      <c r="BJ44" s="34">
        <v>1420.6617470000001</v>
      </c>
    </row>
    <row r="45" spans="1:62">
      <c r="A45" s="1" t="s">
        <v>1030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501.1374945</v>
      </c>
      <c r="W45" s="34">
        <v>483.12692550000003</v>
      </c>
      <c r="X45" s="34">
        <v>477.9392565</v>
      </c>
      <c r="Y45" s="34">
        <v>461.23999709999998</v>
      </c>
      <c r="Z45" s="34">
        <v>431.2375548</v>
      </c>
      <c r="AA45" s="34">
        <v>441.90662889999999</v>
      </c>
      <c r="AB45" s="34">
        <v>602.15849630000002</v>
      </c>
      <c r="AC45" s="34">
        <v>732.56327309999995</v>
      </c>
      <c r="AD45" s="34">
        <v>811.39833820000001</v>
      </c>
      <c r="AE45" s="34">
        <v>807.56239240000002</v>
      </c>
      <c r="AF45" s="34">
        <v>908.08812839999996</v>
      </c>
      <c r="AG45" s="34">
        <v>923.74428079999996</v>
      </c>
      <c r="AH45" s="34">
        <v>1003.929541</v>
      </c>
      <c r="AI45" s="34">
        <v>1339.7295770000001</v>
      </c>
      <c r="AJ45" s="34">
        <v>1080.156565</v>
      </c>
      <c r="AK45" s="34">
        <v>1261.103098</v>
      </c>
      <c r="AL45" s="34">
        <v>1269.1205769999999</v>
      </c>
      <c r="AM45" s="34">
        <v>1213.6328639999999</v>
      </c>
      <c r="AN45" s="34">
        <v>1265.19785</v>
      </c>
      <c r="AO45" s="34">
        <v>1408.9862029999999</v>
      </c>
      <c r="AP45" s="34">
        <v>1259.353067</v>
      </c>
      <c r="AQ45" s="34">
        <v>1292.226512</v>
      </c>
      <c r="AR45" s="34">
        <v>1401.891073</v>
      </c>
      <c r="AS45" s="34">
        <v>1809.1100300000001</v>
      </c>
      <c r="AT45" s="34">
        <v>2024.2663809999999</v>
      </c>
      <c r="AU45" s="34">
        <v>2099.1484169999999</v>
      </c>
      <c r="AV45" s="34">
        <v>2361.3801010000002</v>
      </c>
      <c r="AW45" s="34">
        <v>3186.779935</v>
      </c>
      <c r="AX45" s="34">
        <v>3721.2199930000002</v>
      </c>
      <c r="AY45" s="34">
        <v>3517.4301559999999</v>
      </c>
      <c r="AZ45" s="34">
        <v>3378.323433</v>
      </c>
      <c r="BA45" s="34">
        <v>3740.3741030000001</v>
      </c>
      <c r="BB45" s="34">
        <v>3447.4830999999999</v>
      </c>
      <c r="BC45" s="34">
        <v>3616.0355696893198</v>
      </c>
      <c r="BD45" s="34">
        <v>3588.6255839999999</v>
      </c>
      <c r="BE45" s="34">
        <v>3043.0313820000001</v>
      </c>
      <c r="BF45" s="34">
        <v>3130.9987529999999</v>
      </c>
      <c r="BG45" s="34">
        <v>3289.9022030000001</v>
      </c>
      <c r="BH45" s="34">
        <v>3616.4645369999998</v>
      </c>
      <c r="BI45" s="34">
        <v>3603.7752409999998</v>
      </c>
      <c r="BJ45" s="34">
        <v>3064.2723879999999</v>
      </c>
    </row>
    <row r="46" spans="1:62">
      <c r="A46" s="1" t="s">
        <v>1028</v>
      </c>
      <c r="B46" s="34">
        <v>381.36368179999999</v>
      </c>
      <c r="C46" s="34">
        <v>355.00274880000001</v>
      </c>
      <c r="D46" s="34">
        <v>334.30924870000001</v>
      </c>
      <c r="E46" s="34">
        <v>344.35465679999999</v>
      </c>
      <c r="F46" s="34">
        <v>352.33688489999997</v>
      </c>
      <c r="G46" s="34">
        <v>372.28057810000001</v>
      </c>
      <c r="H46" s="34">
        <v>393.48068430000001</v>
      </c>
      <c r="I46" s="34">
        <v>412.23510640000001</v>
      </c>
      <c r="J46" s="34">
        <v>442.77960869999998</v>
      </c>
      <c r="K46" s="34">
        <v>474.79530390000002</v>
      </c>
      <c r="L46" s="34">
        <v>533.09156489999998</v>
      </c>
      <c r="M46" s="34">
        <v>568.09644679999997</v>
      </c>
      <c r="N46" s="34">
        <v>636.90505229999997</v>
      </c>
      <c r="O46" s="34">
        <v>767.32712879999997</v>
      </c>
      <c r="P46" s="34">
        <v>816.03686249999998</v>
      </c>
      <c r="Q46" s="34">
        <v>936.33682280000005</v>
      </c>
      <c r="R46" s="34">
        <v>1122.807632</v>
      </c>
      <c r="S46" s="34">
        <v>1393.0005160000001</v>
      </c>
      <c r="T46" s="34">
        <v>1555.5404109999999</v>
      </c>
      <c r="U46" s="34">
        <v>1734.61797</v>
      </c>
      <c r="V46" s="34">
        <v>2021.548779</v>
      </c>
      <c r="W46" s="34">
        <v>1068.5024249999999</v>
      </c>
      <c r="X46" s="34">
        <v>1032.9970040000001</v>
      </c>
      <c r="Y46" s="34">
        <v>1213.55646</v>
      </c>
      <c r="Z46" s="34">
        <v>1373.939261</v>
      </c>
      <c r="AA46" s="34">
        <v>1432.081248</v>
      </c>
      <c r="AB46" s="34">
        <v>1572.455025</v>
      </c>
      <c r="AC46" s="34">
        <v>1571.29231</v>
      </c>
      <c r="AD46" s="34">
        <v>1558.5058690000001</v>
      </c>
      <c r="AE46" s="34">
        <v>1727.8709610000001</v>
      </c>
      <c r="AF46" s="34">
        <v>1831.000151</v>
      </c>
      <c r="AG46" s="34">
        <v>2247.3733790000001</v>
      </c>
      <c r="AH46" s="34">
        <v>2605.8052250000001</v>
      </c>
      <c r="AI46" s="34">
        <v>2841.6427800000001</v>
      </c>
      <c r="AJ46" s="34">
        <v>3031.8887709999999</v>
      </c>
      <c r="AK46" s="34">
        <v>3265.693381</v>
      </c>
      <c r="AL46" s="34">
        <v>3215.1056870000002</v>
      </c>
      <c r="AM46" s="34">
        <v>3391.9777349999999</v>
      </c>
      <c r="AN46" s="34">
        <v>3597.4345090000002</v>
      </c>
      <c r="AO46" s="34">
        <v>3668.802068</v>
      </c>
      <c r="AP46" s="34">
        <v>3789.0538860000001</v>
      </c>
      <c r="AQ46" s="34">
        <v>3960.3077029999999</v>
      </c>
      <c r="AR46" s="34">
        <v>4042.7056859999998</v>
      </c>
      <c r="AS46" s="34">
        <v>4147.8243689999999</v>
      </c>
      <c r="AT46" s="34">
        <v>4404.7118840000003</v>
      </c>
      <c r="AU46" s="34">
        <v>4676.3793660000001</v>
      </c>
      <c r="AV46" s="34">
        <v>5227.4659519999996</v>
      </c>
      <c r="AW46" s="34">
        <v>6103.7419170000003</v>
      </c>
      <c r="AX46" s="34">
        <v>6901.3883059999998</v>
      </c>
      <c r="AY46" s="34">
        <v>6801.0367349999997</v>
      </c>
      <c r="AZ46" s="34">
        <v>8227.1274940000003</v>
      </c>
      <c r="BA46" s="34">
        <v>9229.8345169999993</v>
      </c>
      <c r="BB46" s="34">
        <v>10075.00462</v>
      </c>
      <c r="BC46" s="34">
        <v>10744.0910189201</v>
      </c>
      <c r="BD46" s="34">
        <v>10847.169669999999</v>
      </c>
      <c r="BE46" s="34">
        <v>11642.778050000001</v>
      </c>
      <c r="BF46" s="34">
        <v>12011.222750000001</v>
      </c>
      <c r="BG46" s="34">
        <v>12225.574490000001</v>
      </c>
      <c r="BH46" s="34">
        <v>12485.4239</v>
      </c>
      <c r="BI46" s="34">
        <v>12693.827960000001</v>
      </c>
      <c r="BJ46" s="34">
        <v>12140.854149999999</v>
      </c>
    </row>
    <row r="47" spans="1:62">
      <c r="A47" s="1" t="s">
        <v>449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653.42695319999996</v>
      </c>
      <c r="M47" s="34">
        <v>779.72378939999999</v>
      </c>
      <c r="N47" s="34">
        <v>901.36710440000002</v>
      </c>
      <c r="O47" s="34">
        <v>1088.1269729999999</v>
      </c>
      <c r="P47" s="34">
        <v>1223.6913489999999</v>
      </c>
      <c r="Q47" s="34">
        <v>1379.0818409999999</v>
      </c>
      <c r="R47" s="34">
        <v>1443.3024330000001</v>
      </c>
      <c r="S47" s="34">
        <v>1472.7295819999999</v>
      </c>
      <c r="T47" s="34">
        <v>1835.1115359999999</v>
      </c>
      <c r="U47" s="34">
        <v>2000.2801890000001</v>
      </c>
      <c r="V47" s="34">
        <v>2021.724635</v>
      </c>
      <c r="W47" s="34">
        <v>2035.607231</v>
      </c>
      <c r="X47" s="34">
        <v>2107.932429</v>
      </c>
      <c r="Y47" s="34">
        <v>2224.6534860000002</v>
      </c>
      <c r="Z47" s="34">
        <v>2396.353662</v>
      </c>
      <c r="AA47" s="34">
        <v>2269.8252189999998</v>
      </c>
      <c r="AB47" s="34">
        <v>2378.910723</v>
      </c>
      <c r="AC47" s="34">
        <v>2451.1329989999999</v>
      </c>
      <c r="AD47" s="34">
        <v>2640.9184220000002</v>
      </c>
      <c r="AE47" s="34">
        <v>2572.691695</v>
      </c>
      <c r="AF47" s="34">
        <v>2703.1682940000001</v>
      </c>
      <c r="AG47" s="34">
        <v>2278.2103870000001</v>
      </c>
      <c r="AH47" s="34">
        <v>2057.103595</v>
      </c>
      <c r="AI47" s="34">
        <v>2073.0937119999999</v>
      </c>
      <c r="AJ47" s="34">
        <v>2624.7570350000001</v>
      </c>
      <c r="AK47" s="34">
        <v>2794.7388080000001</v>
      </c>
      <c r="AL47" s="34">
        <v>2286.9290540000002</v>
      </c>
      <c r="AM47" s="34">
        <v>2308.1466150000001</v>
      </c>
      <c r="AN47" s="34">
        <v>2331.4626910000002</v>
      </c>
      <c r="AO47" s="34">
        <v>2558.9041010000001</v>
      </c>
      <c r="AP47" s="34">
        <v>2747.1003030000002</v>
      </c>
      <c r="AQ47" s="34">
        <v>2837.7357299999999</v>
      </c>
      <c r="AR47" s="34">
        <v>2999.241763</v>
      </c>
      <c r="AS47" s="34">
        <v>3197.1331850000001</v>
      </c>
      <c r="AT47" s="34">
        <v>3395.7108429999998</v>
      </c>
      <c r="AU47" s="34">
        <v>3786.66345</v>
      </c>
      <c r="AV47" s="34">
        <v>4683.5690670000004</v>
      </c>
      <c r="AW47" s="34">
        <v>5208.7183880000002</v>
      </c>
      <c r="AX47" s="34">
        <v>5411.2694920000004</v>
      </c>
      <c r="AY47" s="34">
        <v>5529.6693750000004</v>
      </c>
      <c r="AZ47" s="34">
        <v>5730.3542639999996</v>
      </c>
      <c r="BA47" s="34">
        <v>6139.7187830000003</v>
      </c>
      <c r="BB47" s="34">
        <v>6497.3147639999997</v>
      </c>
      <c r="BC47" s="34">
        <v>6837.7116798588104</v>
      </c>
      <c r="BD47" s="34">
        <v>7133.3376790000002</v>
      </c>
      <c r="BE47" s="34">
        <v>7694.0146370000002</v>
      </c>
      <c r="BF47" s="34">
        <v>8060.7965979999999</v>
      </c>
      <c r="BG47" s="34">
        <v>8541.2136859999991</v>
      </c>
      <c r="BH47" s="34">
        <v>8824.1940080000004</v>
      </c>
      <c r="BI47" s="34">
        <v>9125.8786789999995</v>
      </c>
      <c r="BJ47" s="34">
        <v>9477.8528729999998</v>
      </c>
    </row>
    <row r="48" spans="1:62">
      <c r="A48" s="1" t="s">
        <v>1173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20146.386409999999</v>
      </c>
      <c r="BB48" s="34">
        <v>20587.397359999999</v>
      </c>
      <c r="BC48" s="34">
        <v>20462.717953981301</v>
      </c>
      <c r="BD48" s="34">
        <v>20258.009689999999</v>
      </c>
      <c r="BE48" s="34">
        <v>19951.3279</v>
      </c>
      <c r="BF48" s="34">
        <v>19555.365849999998</v>
      </c>
      <c r="BG48" s="34">
        <v>19457.53152</v>
      </c>
      <c r="BH48" s="34">
        <v>19630.893489999999</v>
      </c>
      <c r="BI48" s="34">
        <v>19701.270380000002</v>
      </c>
      <c r="BJ48" s="34">
        <v>16745.724310000001</v>
      </c>
    </row>
    <row r="49" spans="1:62">
      <c r="A49" s="1" t="s">
        <v>1174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82801.542660000006</v>
      </c>
      <c r="AW49" s="34">
        <v>85433.030939999997</v>
      </c>
      <c r="AX49" s="34">
        <v>85188.337039999999</v>
      </c>
      <c r="AY49" s="34">
        <v>77400.421440000006</v>
      </c>
      <c r="AZ49" s="34">
        <v>73351.756770000007</v>
      </c>
      <c r="BA49" s="34">
        <v>72329.661330000003</v>
      </c>
      <c r="BB49" s="34">
        <v>72777.148490000007</v>
      </c>
      <c r="BC49" s="34">
        <v>73514.668683121607</v>
      </c>
      <c r="BD49" s="34">
        <v>74990.433220000006</v>
      </c>
      <c r="BE49" s="34">
        <v>76284.193929999994</v>
      </c>
      <c r="BF49" s="34">
        <v>78471.628729999997</v>
      </c>
      <c r="BG49" s="34">
        <v>81513.163020000007</v>
      </c>
      <c r="BH49" s="34">
        <v>86059.739220000003</v>
      </c>
      <c r="BI49" s="34">
        <v>91392.642590000003</v>
      </c>
      <c r="BJ49" s="34">
        <v>85082.526859999998</v>
      </c>
    </row>
    <row r="50" spans="1:62">
      <c r="A50" s="1" t="s">
        <v>1048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976.33424479999996</v>
      </c>
      <c r="R50" s="34">
        <v>1157.411648</v>
      </c>
      <c r="S50" s="34">
        <v>1476.2715430000001</v>
      </c>
      <c r="T50" s="34">
        <v>1929.403607</v>
      </c>
      <c r="U50" s="34">
        <v>2559.2596749999998</v>
      </c>
      <c r="V50" s="34">
        <v>4232.0229390000004</v>
      </c>
      <c r="W50" s="34">
        <v>4033.2404780000002</v>
      </c>
      <c r="X50" s="34">
        <v>4122.7844990000003</v>
      </c>
      <c r="Y50" s="34">
        <v>4091.0484980000001</v>
      </c>
      <c r="Z50" s="34">
        <v>4258.7435889999997</v>
      </c>
      <c r="AA50" s="34">
        <v>4488.2870030000004</v>
      </c>
      <c r="AB50" s="34">
        <v>5642.6314759999996</v>
      </c>
      <c r="AC50" s="34">
        <v>6690.5779750000002</v>
      </c>
      <c r="AD50" s="34">
        <v>7645.6297670000004</v>
      </c>
      <c r="AE50" s="34">
        <v>8038.9142419999998</v>
      </c>
      <c r="AF50" s="34">
        <v>9641.5752730000004</v>
      </c>
      <c r="AG50" s="34">
        <v>9696.0995930000008</v>
      </c>
      <c r="AH50" s="34">
        <v>11310.07192</v>
      </c>
      <c r="AI50" s="34">
        <v>10526.14177</v>
      </c>
      <c r="AJ50" s="34">
        <v>11617.692779999999</v>
      </c>
      <c r="AK50" s="34">
        <v>15261.41056</v>
      </c>
      <c r="AL50" s="34">
        <v>15139.226129999999</v>
      </c>
      <c r="AM50" s="34">
        <v>14234.24438</v>
      </c>
      <c r="AN50" s="34">
        <v>15092.82625</v>
      </c>
      <c r="AO50" s="34">
        <v>15287.91913</v>
      </c>
      <c r="AP50" s="34">
        <v>14388.34806</v>
      </c>
      <c r="AQ50" s="34">
        <v>14821.446819999999</v>
      </c>
      <c r="AR50" s="34">
        <v>16093.214610000001</v>
      </c>
      <c r="AS50" s="34">
        <v>20252.238979999998</v>
      </c>
      <c r="AT50" s="34">
        <v>23792.621360000001</v>
      </c>
      <c r="AU50" s="34">
        <v>24959.259170000001</v>
      </c>
      <c r="AV50" s="34">
        <v>26729.323400000001</v>
      </c>
      <c r="AW50" s="34">
        <v>31244.926220000001</v>
      </c>
      <c r="AX50" s="34">
        <v>35397.363680000002</v>
      </c>
      <c r="AY50" s="34">
        <v>32109.24251</v>
      </c>
      <c r="AZ50" s="34">
        <v>31023.638330000002</v>
      </c>
      <c r="BA50" s="34">
        <v>32396.385740000002</v>
      </c>
      <c r="BB50" s="34">
        <v>28912.156940000001</v>
      </c>
      <c r="BC50" s="34">
        <v>27729.192699073501</v>
      </c>
      <c r="BD50" s="34">
        <v>27163.332969999999</v>
      </c>
      <c r="BE50" s="34">
        <v>23408.33668</v>
      </c>
      <c r="BF50" s="34">
        <v>24605.920829999999</v>
      </c>
      <c r="BG50" s="34">
        <v>26444.074379999998</v>
      </c>
      <c r="BH50" s="34">
        <v>29089.47133</v>
      </c>
      <c r="BI50" s="34">
        <v>28288.461579999999</v>
      </c>
      <c r="BJ50" s="34">
        <v>26623.800889999999</v>
      </c>
    </row>
    <row r="51" spans="1:62">
      <c r="A51" s="1" t="s">
        <v>1049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3941.5030940000001</v>
      </c>
      <c r="AG51" s="34">
        <v>2896.6091310000002</v>
      </c>
      <c r="AH51" s="34">
        <v>3372.8654299999998</v>
      </c>
      <c r="AI51" s="34">
        <v>3956.1783500000001</v>
      </c>
      <c r="AJ51" s="34">
        <v>4630.5512170000002</v>
      </c>
      <c r="AK51" s="34">
        <v>5824.1212910000004</v>
      </c>
      <c r="AL51" s="34">
        <v>6532.837055</v>
      </c>
      <c r="AM51" s="34">
        <v>6034.488437</v>
      </c>
      <c r="AN51" s="34">
        <v>6489.7036189999999</v>
      </c>
      <c r="AO51" s="34">
        <v>6337.4191199999996</v>
      </c>
      <c r="AP51" s="34">
        <v>6029.0381930000003</v>
      </c>
      <c r="AQ51" s="34">
        <v>6637.0416569999998</v>
      </c>
      <c r="AR51" s="34">
        <v>8060.8687030000001</v>
      </c>
      <c r="AS51" s="34">
        <v>9818.5684930000007</v>
      </c>
      <c r="AT51" s="34">
        <v>11749.85266</v>
      </c>
      <c r="AU51" s="34">
        <v>13430.669900000001</v>
      </c>
      <c r="AV51" s="34">
        <v>15261.79759</v>
      </c>
      <c r="AW51" s="34">
        <v>18466.547930000001</v>
      </c>
      <c r="AX51" s="34">
        <v>22804.577679999999</v>
      </c>
      <c r="AY51" s="34">
        <v>19861.69743</v>
      </c>
      <c r="AZ51" s="34">
        <v>19960.068490000001</v>
      </c>
      <c r="BA51" s="34">
        <v>21871.266080000001</v>
      </c>
      <c r="BB51" s="34">
        <v>19870.801210000001</v>
      </c>
      <c r="BC51" s="34">
        <v>20133.169143135299</v>
      </c>
      <c r="BD51" s="34">
        <v>19890.919910000001</v>
      </c>
      <c r="BE51" s="34">
        <v>17829.69832</v>
      </c>
      <c r="BF51" s="34">
        <v>18575.232029999999</v>
      </c>
      <c r="BG51" s="34">
        <v>20636.199949999998</v>
      </c>
      <c r="BH51" s="34">
        <v>23419.73561</v>
      </c>
      <c r="BI51" s="34">
        <v>23660.148809999999</v>
      </c>
      <c r="BJ51" s="34">
        <v>22932.224969999999</v>
      </c>
    </row>
    <row r="52" spans="1:62">
      <c r="A52" s="1" t="s">
        <v>1071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2761.1668330000002</v>
      </c>
      <c r="M52" s="34">
        <v>3192.1336160000001</v>
      </c>
      <c r="N52" s="34">
        <v>3809.9814449999999</v>
      </c>
      <c r="O52" s="34">
        <v>5046.7551030000004</v>
      </c>
      <c r="P52" s="34">
        <v>5639.0776210000004</v>
      </c>
      <c r="Q52" s="34">
        <v>6236.3588810000001</v>
      </c>
      <c r="R52" s="34">
        <v>6634.8568990000003</v>
      </c>
      <c r="S52" s="34">
        <v>7682.953775</v>
      </c>
      <c r="T52" s="34">
        <v>9482.0428499999998</v>
      </c>
      <c r="U52" s="34">
        <v>11281.02332</v>
      </c>
      <c r="V52" s="34">
        <v>12138.3081</v>
      </c>
      <c r="W52" s="34">
        <v>10209.073119999999</v>
      </c>
      <c r="X52" s="34">
        <v>9913.7376420000001</v>
      </c>
      <c r="Y52" s="34">
        <v>9864.3449400000009</v>
      </c>
      <c r="Z52" s="34">
        <v>9313.1694119999993</v>
      </c>
      <c r="AA52" s="34">
        <v>9429.5692170000002</v>
      </c>
      <c r="AB52" s="34">
        <v>13461.831</v>
      </c>
      <c r="AC52" s="34">
        <v>16677.51079</v>
      </c>
      <c r="AD52" s="34">
        <v>17931.282319999998</v>
      </c>
      <c r="AE52" s="34">
        <v>17764.37645</v>
      </c>
      <c r="AF52" s="34">
        <v>22303.961329999998</v>
      </c>
      <c r="AG52" s="34">
        <v>23357.757730000001</v>
      </c>
      <c r="AH52" s="34">
        <v>26438.230390000001</v>
      </c>
      <c r="AI52" s="34">
        <v>25522.629570000001</v>
      </c>
      <c r="AJ52" s="34">
        <v>27076.606749999999</v>
      </c>
      <c r="AK52" s="34">
        <v>31658.34938</v>
      </c>
      <c r="AL52" s="34">
        <v>30485.866549999999</v>
      </c>
      <c r="AM52" s="34">
        <v>26964.049470000002</v>
      </c>
      <c r="AN52" s="34">
        <v>27289.059359999999</v>
      </c>
      <c r="AO52" s="34">
        <v>26725.915219999999</v>
      </c>
      <c r="AP52" s="34">
        <v>23635.929220000002</v>
      </c>
      <c r="AQ52" s="34">
        <v>23607.882860000002</v>
      </c>
      <c r="AR52" s="34">
        <v>25077.729080000001</v>
      </c>
      <c r="AS52" s="34">
        <v>30243.576529999998</v>
      </c>
      <c r="AT52" s="34">
        <v>34044.053630000002</v>
      </c>
      <c r="AU52" s="34">
        <v>34507.36881</v>
      </c>
      <c r="AV52" s="34">
        <v>36323.447740000003</v>
      </c>
      <c r="AW52" s="34">
        <v>41587.212899999999</v>
      </c>
      <c r="AX52" s="34">
        <v>45427.151680000003</v>
      </c>
      <c r="AY52" s="34">
        <v>41485.90165</v>
      </c>
      <c r="AZ52" s="34">
        <v>41531.934200000003</v>
      </c>
      <c r="BA52" s="34">
        <v>46644.776030000001</v>
      </c>
      <c r="BB52" s="34">
        <v>43858.363060000003</v>
      </c>
      <c r="BC52" s="34">
        <v>46285.764068840697</v>
      </c>
      <c r="BD52" s="34">
        <v>47959.993269999999</v>
      </c>
      <c r="BE52" s="34">
        <v>41086.729670000001</v>
      </c>
      <c r="BF52" s="34">
        <v>42107.517269999997</v>
      </c>
      <c r="BG52" s="34">
        <v>44542.2952</v>
      </c>
      <c r="BH52" s="34">
        <v>47950.180809999998</v>
      </c>
      <c r="BI52" s="34">
        <v>46794.899290000001</v>
      </c>
      <c r="BJ52" s="34">
        <v>46208.429470000003</v>
      </c>
    </row>
    <row r="53" spans="1:62">
      <c r="A53" s="1" t="s">
        <v>1051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801.18213939999998</v>
      </c>
      <c r="AB53" s="34">
        <v>0</v>
      </c>
      <c r="AC53" s="34">
        <v>761.45944169999996</v>
      </c>
      <c r="AD53" s="34">
        <v>748.20373549999999</v>
      </c>
      <c r="AE53" s="34">
        <v>725.75411599999995</v>
      </c>
      <c r="AF53" s="34">
        <v>766.14744289999999</v>
      </c>
      <c r="AG53" s="34">
        <v>762.01257740000005</v>
      </c>
      <c r="AH53" s="34">
        <v>777.26738460000001</v>
      </c>
      <c r="AI53" s="34">
        <v>753.50922419999995</v>
      </c>
      <c r="AJ53" s="34">
        <v>790.03480400000001</v>
      </c>
      <c r="AK53" s="34">
        <v>789.55552650000004</v>
      </c>
      <c r="AL53" s="34">
        <v>767.50627710000003</v>
      </c>
      <c r="AM53" s="34">
        <v>760.64077610000004</v>
      </c>
      <c r="AN53" s="34">
        <v>755.75947229999997</v>
      </c>
      <c r="AO53" s="34">
        <v>765.85832319999997</v>
      </c>
      <c r="AP53" s="34">
        <v>768.18357030000004</v>
      </c>
      <c r="AQ53" s="34">
        <v>780.90396129999999</v>
      </c>
      <c r="AR53" s="34">
        <v>791.3841807</v>
      </c>
      <c r="AS53" s="34">
        <v>818.86878569999999</v>
      </c>
      <c r="AT53" s="34">
        <v>863.23608739999997</v>
      </c>
      <c r="AU53" s="34">
        <v>904.73667950000004</v>
      </c>
      <c r="AV53" s="34">
        <v>967.67958380000005</v>
      </c>
      <c r="AW53" s="34">
        <v>1052.7191170000001</v>
      </c>
      <c r="AX53" s="34">
        <v>1223.852363</v>
      </c>
      <c r="AY53" s="34">
        <v>1267.3173939999999</v>
      </c>
      <c r="AZ53" s="34">
        <v>1343.2751249999999</v>
      </c>
      <c r="BA53" s="34">
        <v>1451.5480809999999</v>
      </c>
      <c r="BB53" s="34">
        <v>1559.2406510000001</v>
      </c>
      <c r="BC53" s="34">
        <v>2312.7209484209002</v>
      </c>
      <c r="BD53" s="34">
        <v>2464.2949050000002</v>
      </c>
      <c r="BE53" s="34">
        <v>2658.9492449999998</v>
      </c>
      <c r="BF53" s="34">
        <v>2802.1662040000001</v>
      </c>
      <c r="BG53" s="34">
        <v>2914.358197</v>
      </c>
      <c r="BH53" s="34">
        <v>3141.861711</v>
      </c>
      <c r="BI53" s="34">
        <v>3414.9161779999999</v>
      </c>
      <c r="BJ53" s="34">
        <v>3425.4841759999999</v>
      </c>
    </row>
    <row r="54" spans="1:62">
      <c r="A54" s="1" t="s">
        <v>1053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624.60612189999995</v>
      </c>
      <c r="T54" s="34">
        <v>769.11975710000002</v>
      </c>
      <c r="U54" s="34">
        <v>733.96156470000005</v>
      </c>
      <c r="V54" s="34">
        <v>966.63019910000003</v>
      </c>
      <c r="W54" s="34">
        <v>1090.2009069999999</v>
      </c>
      <c r="X54" s="34">
        <v>1193.510061</v>
      </c>
      <c r="Y54" s="34">
        <v>1324.6494749999999</v>
      </c>
      <c r="Z54" s="34">
        <v>1478.171746</v>
      </c>
      <c r="AA54" s="34">
        <v>1632.2473669999999</v>
      </c>
      <c r="AB54" s="34">
        <v>1863.506067</v>
      </c>
      <c r="AC54" s="34">
        <v>2113.9271520000002</v>
      </c>
      <c r="AD54" s="34">
        <v>2402.7717809999999</v>
      </c>
      <c r="AE54" s="34">
        <v>2617.8168460000002</v>
      </c>
      <c r="AF54" s="34">
        <v>2860.3224789999999</v>
      </c>
      <c r="AG54" s="34">
        <v>3122.653182</v>
      </c>
      <c r="AH54" s="34">
        <v>3317.8246709999999</v>
      </c>
      <c r="AI54" s="34">
        <v>3466.998869</v>
      </c>
      <c r="AJ54" s="34">
        <v>3721.272367</v>
      </c>
      <c r="AK54" s="34">
        <v>3860.800538</v>
      </c>
      <c r="AL54" s="34">
        <v>4120.581185</v>
      </c>
      <c r="AM54" s="34">
        <v>4292.1136800000004</v>
      </c>
      <c r="AN54" s="34">
        <v>4593.8633449999998</v>
      </c>
      <c r="AO54" s="34">
        <v>4751.0921010000002</v>
      </c>
      <c r="AP54" s="34">
        <v>4787.8014409999996</v>
      </c>
      <c r="AQ54" s="34">
        <v>4883.0030239999996</v>
      </c>
      <c r="AR54" s="34">
        <v>4770.8518940000004</v>
      </c>
      <c r="AS54" s="34">
        <v>4897.3083669999996</v>
      </c>
      <c r="AT54" s="34">
        <v>5216.8724339999999</v>
      </c>
      <c r="AU54" s="34">
        <v>5160.8891409999997</v>
      </c>
      <c r="AV54" s="34">
        <v>5518.4232000000002</v>
      </c>
      <c r="AW54" s="34">
        <v>5951.863413</v>
      </c>
      <c r="AX54" s="34">
        <v>6468.944767</v>
      </c>
      <c r="AY54" s="34">
        <v>6903.1458060000004</v>
      </c>
      <c r="AZ54" s="34">
        <v>6967.364955</v>
      </c>
      <c r="BA54" s="34">
        <v>7065.4603719999996</v>
      </c>
      <c r="BB54" s="34">
        <v>6849.4559330000002</v>
      </c>
      <c r="BC54" s="34">
        <v>7016.380071478</v>
      </c>
      <c r="BD54" s="34">
        <v>7317.4861430000001</v>
      </c>
      <c r="BE54" s="34">
        <v>7597.2888940000003</v>
      </c>
      <c r="BF54" s="34">
        <v>8080.9686229999998</v>
      </c>
      <c r="BG54" s="34">
        <v>7274.5177309999999</v>
      </c>
      <c r="BH54" s="34">
        <v>7687.4629629999999</v>
      </c>
      <c r="BI54" s="34">
        <v>8516.2800389999993</v>
      </c>
      <c r="BJ54" s="34">
        <v>7003.8590210000002</v>
      </c>
    </row>
    <row r="55" spans="1:62">
      <c r="A55" s="1" t="s">
        <v>1050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2487.1361809999999</v>
      </c>
      <c r="I55" s="34">
        <v>2700.74629</v>
      </c>
      <c r="J55" s="34">
        <v>2776.1353899999999</v>
      </c>
      <c r="K55" s="34">
        <v>3151.1331610000002</v>
      </c>
      <c r="L55" s="34">
        <v>3464.455156</v>
      </c>
      <c r="M55" s="34">
        <v>3845.506089</v>
      </c>
      <c r="N55" s="34">
        <v>4654.2989360000001</v>
      </c>
      <c r="O55" s="34">
        <v>6119.3702219999996</v>
      </c>
      <c r="P55" s="34">
        <v>6770.750027</v>
      </c>
      <c r="Q55" s="34">
        <v>7999.1126670000003</v>
      </c>
      <c r="R55" s="34">
        <v>8787.5897220000006</v>
      </c>
      <c r="S55" s="34">
        <v>9783.8520219999991</v>
      </c>
      <c r="T55" s="34">
        <v>11826.018609999999</v>
      </c>
      <c r="U55" s="34">
        <v>13751.998949999999</v>
      </c>
      <c r="V55" s="34">
        <v>13883.887140000001</v>
      </c>
      <c r="W55" s="34">
        <v>12081.80105</v>
      </c>
      <c r="X55" s="34">
        <v>11804.43289</v>
      </c>
      <c r="Y55" s="34">
        <v>11857.89214</v>
      </c>
      <c r="Z55" s="34">
        <v>11562.91908</v>
      </c>
      <c r="AA55" s="34">
        <v>12253.100210000001</v>
      </c>
      <c r="AB55" s="34">
        <v>17201.088810000001</v>
      </c>
      <c r="AC55" s="34">
        <v>21340.727859999999</v>
      </c>
      <c r="AD55" s="34">
        <v>22527.046729999998</v>
      </c>
      <c r="AE55" s="34">
        <v>21901.054749999999</v>
      </c>
      <c r="AF55" s="34">
        <v>26891.446449999999</v>
      </c>
      <c r="AG55" s="34">
        <v>27011.37746</v>
      </c>
      <c r="AH55" s="34">
        <v>29569.660360000002</v>
      </c>
      <c r="AI55" s="34">
        <v>27597.97523</v>
      </c>
      <c r="AJ55" s="34">
        <v>29995.57962</v>
      </c>
      <c r="AK55" s="34">
        <v>35351.365460000001</v>
      </c>
      <c r="AL55" s="34">
        <v>35650.714090000001</v>
      </c>
      <c r="AM55" s="34">
        <v>32835.939939999997</v>
      </c>
      <c r="AN55" s="34">
        <v>33368.142419999996</v>
      </c>
      <c r="AO55" s="34">
        <v>33440.794809999999</v>
      </c>
      <c r="AP55" s="34">
        <v>30743.54768</v>
      </c>
      <c r="AQ55" s="34">
        <v>30751.654350000001</v>
      </c>
      <c r="AR55" s="34">
        <v>33228.69354</v>
      </c>
      <c r="AS55" s="34">
        <v>40458.777399999999</v>
      </c>
      <c r="AT55" s="34">
        <v>46511.598330000001</v>
      </c>
      <c r="AU55" s="34">
        <v>48799.825599999996</v>
      </c>
      <c r="AV55" s="34">
        <v>52026.999510000001</v>
      </c>
      <c r="AW55" s="34">
        <v>58487.054969999997</v>
      </c>
      <c r="AX55" s="34">
        <v>64322.063499999997</v>
      </c>
      <c r="AY55" s="34">
        <v>58163.276879999998</v>
      </c>
      <c r="AZ55" s="34">
        <v>58041.398439999997</v>
      </c>
      <c r="BA55" s="34">
        <v>61753.647129999998</v>
      </c>
      <c r="BB55" s="34">
        <v>58507.508049999997</v>
      </c>
      <c r="BC55" s="34">
        <v>61191.1937042028</v>
      </c>
      <c r="BD55" s="34">
        <v>62548.984729999996</v>
      </c>
      <c r="BE55" s="34">
        <v>53254.856370000001</v>
      </c>
      <c r="BF55" s="34">
        <v>54663.998370000001</v>
      </c>
      <c r="BG55" s="34">
        <v>57610.098180000001</v>
      </c>
      <c r="BH55" s="34">
        <v>61591.928870000003</v>
      </c>
      <c r="BI55" s="34">
        <v>59775.735099999998</v>
      </c>
      <c r="BJ55" s="34">
        <v>61063.316429999999</v>
      </c>
    </row>
    <row r="56" spans="1:62">
      <c r="A56" s="1" t="s">
        <v>1032</v>
      </c>
      <c r="B56" s="34">
        <v>204.1148714</v>
      </c>
      <c r="C56" s="34">
        <v>192.0276125</v>
      </c>
      <c r="D56" s="34">
        <v>234.0516294</v>
      </c>
      <c r="E56" s="34">
        <v>258.59578190000002</v>
      </c>
      <c r="F56" s="34">
        <v>272.97480009999998</v>
      </c>
      <c r="G56" s="34">
        <v>229.02350010000001</v>
      </c>
      <c r="H56" s="34">
        <v>245.98754539999999</v>
      </c>
      <c r="I56" s="34">
        <v>250.9762072</v>
      </c>
      <c r="J56" s="34">
        <v>254.0517978</v>
      </c>
      <c r="K56" s="34">
        <v>281.37760459999998</v>
      </c>
      <c r="L56" s="34">
        <v>330.13150589999998</v>
      </c>
      <c r="M56" s="34">
        <v>360.15285260000002</v>
      </c>
      <c r="N56" s="34">
        <v>417.91926089999998</v>
      </c>
      <c r="O56" s="34">
        <v>480.05306630000001</v>
      </c>
      <c r="P56" s="34">
        <v>583.48442130000001</v>
      </c>
      <c r="Q56" s="34">
        <v>699.60300370000004</v>
      </c>
      <c r="R56" s="34">
        <v>748.99062070000002</v>
      </c>
      <c r="S56" s="34">
        <v>848.28541710000002</v>
      </c>
      <c r="T56" s="34">
        <v>854.64716199999998</v>
      </c>
      <c r="U56" s="34">
        <v>969.49804830000005</v>
      </c>
      <c r="V56" s="34">
        <v>1164.952225</v>
      </c>
      <c r="W56" s="34">
        <v>1273.8264409999999</v>
      </c>
      <c r="X56" s="34">
        <v>1362.510669</v>
      </c>
      <c r="Y56" s="34">
        <v>1487.275828</v>
      </c>
      <c r="Z56" s="34">
        <v>1831.0864590000001</v>
      </c>
      <c r="AA56" s="34">
        <v>780.38586580000003</v>
      </c>
      <c r="AB56" s="34">
        <v>928.03224880000005</v>
      </c>
      <c r="AC56" s="34">
        <v>865.83175449999999</v>
      </c>
      <c r="AD56" s="34">
        <v>783.03540129999999</v>
      </c>
      <c r="AE56" s="34">
        <v>955.51737479999997</v>
      </c>
      <c r="AF56" s="34">
        <v>991.61484110000004</v>
      </c>
      <c r="AG56" s="34">
        <v>1351.2985000000001</v>
      </c>
      <c r="AH56" s="34">
        <v>1566.5296229999999</v>
      </c>
      <c r="AI56" s="34">
        <v>1733.3995359999999</v>
      </c>
      <c r="AJ56" s="34">
        <v>1905.9434960000001</v>
      </c>
      <c r="AK56" s="34">
        <v>2127.7480890000002</v>
      </c>
      <c r="AL56" s="34">
        <v>2293.7543810000002</v>
      </c>
      <c r="AM56" s="34">
        <v>2476.060403</v>
      </c>
      <c r="AN56" s="34">
        <v>2638.3132700000001</v>
      </c>
      <c r="AO56" s="34">
        <v>2653.2251240000001</v>
      </c>
      <c r="AP56" s="34">
        <v>2869.1781390000001</v>
      </c>
      <c r="AQ56" s="34">
        <v>2977.43451</v>
      </c>
      <c r="AR56" s="34">
        <v>3110.3254470000002</v>
      </c>
      <c r="AS56" s="34">
        <v>2418.350422</v>
      </c>
      <c r="AT56" s="34">
        <v>2487.3290609999999</v>
      </c>
      <c r="AU56" s="34">
        <v>3932.7844070000001</v>
      </c>
      <c r="AV56" s="34">
        <v>4109.0335910000003</v>
      </c>
      <c r="AW56" s="34">
        <v>4707.7950520000004</v>
      </c>
      <c r="AX56" s="34">
        <v>5087.9832130000004</v>
      </c>
      <c r="AY56" s="34">
        <v>5039.4031219999997</v>
      </c>
      <c r="AZ56" s="34">
        <v>5555.392014</v>
      </c>
      <c r="BA56" s="34">
        <v>5913.426649</v>
      </c>
      <c r="BB56" s="34">
        <v>6110.3665760000004</v>
      </c>
      <c r="BC56" s="34">
        <v>6238.1323665836198</v>
      </c>
      <c r="BD56" s="34">
        <v>6608.8255010000003</v>
      </c>
      <c r="BE56" s="34">
        <v>6921.5205939999996</v>
      </c>
      <c r="BF56" s="34">
        <v>7280.8836099999999</v>
      </c>
      <c r="BG56" s="34">
        <v>7609.3532750000004</v>
      </c>
      <c r="BH56" s="34">
        <v>8050.6440759999996</v>
      </c>
      <c r="BI56" s="34">
        <v>8282.1171310000009</v>
      </c>
      <c r="BJ56" s="34">
        <v>7268.1969099999997</v>
      </c>
    </row>
    <row r="57" spans="1:62">
      <c r="A57" s="1" t="s">
        <v>586</v>
      </c>
      <c r="B57" s="34">
        <v>246.30375129999999</v>
      </c>
      <c r="C57" s="34">
        <v>214.77198010000001</v>
      </c>
      <c r="D57" s="34">
        <v>172.24250900000001</v>
      </c>
      <c r="E57" s="34">
        <v>226.89545010000001</v>
      </c>
      <c r="F57" s="34">
        <v>238.04371040000001</v>
      </c>
      <c r="G57" s="34">
        <v>249.8835856</v>
      </c>
      <c r="H57" s="34">
        <v>235.59813009999999</v>
      </c>
      <c r="I57" s="34">
        <v>253.9237655</v>
      </c>
      <c r="J57" s="34">
        <v>281.92578630000003</v>
      </c>
      <c r="K57" s="34">
        <v>302.75226370000001</v>
      </c>
      <c r="L57" s="34">
        <v>336.22469289999998</v>
      </c>
      <c r="M57" s="34">
        <v>341.38891849999999</v>
      </c>
      <c r="N57" s="34">
        <v>442.67762349999998</v>
      </c>
      <c r="O57" s="34">
        <v>554.29290900000001</v>
      </c>
      <c r="P57" s="34">
        <v>818.00822889999995</v>
      </c>
      <c r="Q57" s="34">
        <v>936.79008220000003</v>
      </c>
      <c r="R57" s="34">
        <v>1037.60716</v>
      </c>
      <c r="S57" s="34">
        <v>1192.7442269999999</v>
      </c>
      <c r="T57" s="34">
        <v>1456.419396</v>
      </c>
      <c r="U57" s="34">
        <v>1782.6993199999999</v>
      </c>
      <c r="V57" s="34">
        <v>2203.0554609999999</v>
      </c>
      <c r="W57" s="34">
        <v>2237.0867760000001</v>
      </c>
      <c r="X57" s="34">
        <v>2210.302036</v>
      </c>
      <c r="Y57" s="34">
        <v>2312.6556190000001</v>
      </c>
      <c r="Z57" s="34">
        <v>2467.346082</v>
      </c>
      <c r="AA57" s="34">
        <v>2582.8790130000002</v>
      </c>
      <c r="AB57" s="34">
        <v>2756.9549809999999</v>
      </c>
      <c r="AC57" s="34">
        <v>2807.5036030000001</v>
      </c>
      <c r="AD57" s="34">
        <v>2417.3761890000001</v>
      </c>
      <c r="AE57" s="34">
        <v>2215.9638730000001</v>
      </c>
      <c r="AF57" s="34">
        <v>2408.8229849999998</v>
      </c>
      <c r="AG57" s="34">
        <v>1731.6213700000001</v>
      </c>
      <c r="AH57" s="34">
        <v>1776.028278</v>
      </c>
      <c r="AI57" s="34">
        <v>1807.2974509999999</v>
      </c>
      <c r="AJ57" s="34">
        <v>1507.886663</v>
      </c>
      <c r="AK57" s="34">
        <v>1452.2784340000001</v>
      </c>
      <c r="AL57" s="34">
        <v>1603.940302</v>
      </c>
      <c r="AM57" s="34">
        <v>1619.7977490000001</v>
      </c>
      <c r="AN57" s="34">
        <v>1596.0039260000001</v>
      </c>
      <c r="AO57" s="34">
        <v>1588.3489079999999</v>
      </c>
      <c r="AP57" s="34">
        <v>1765.0271459999999</v>
      </c>
      <c r="AQ57" s="34">
        <v>1740.6066539999999</v>
      </c>
      <c r="AR57" s="34">
        <v>1781.828908</v>
      </c>
      <c r="AS57" s="34">
        <v>2103.3812910000001</v>
      </c>
      <c r="AT57" s="34">
        <v>2610.185422</v>
      </c>
      <c r="AU57" s="34">
        <v>3113.0948830000002</v>
      </c>
      <c r="AV57" s="34">
        <v>3478.7100019999998</v>
      </c>
      <c r="AW57" s="34">
        <v>3950.5129929999998</v>
      </c>
      <c r="AX57" s="34">
        <v>4923.6316150000002</v>
      </c>
      <c r="AY57" s="34">
        <v>3883.2709</v>
      </c>
      <c r="AZ57" s="34">
        <v>4480.7863180000004</v>
      </c>
      <c r="BA57" s="34">
        <v>5455.6794030000001</v>
      </c>
      <c r="BB57" s="34">
        <v>5592.2201150000001</v>
      </c>
      <c r="BC57" s="34">
        <v>5499.5873310533398</v>
      </c>
      <c r="BD57" s="34">
        <v>5493.0566950000002</v>
      </c>
      <c r="BE57" s="34">
        <v>4177.8895419999999</v>
      </c>
      <c r="BF57" s="34">
        <v>3946.4524470000001</v>
      </c>
      <c r="BG57" s="34">
        <v>4109.6982170000001</v>
      </c>
      <c r="BH57" s="34">
        <v>4142.0185579999998</v>
      </c>
      <c r="BI57" s="34">
        <v>3989.6682759999999</v>
      </c>
      <c r="BJ57" s="34">
        <v>3306.8582080000001</v>
      </c>
    </row>
    <row r="58" spans="1:62">
      <c r="A58" s="1" t="s">
        <v>559</v>
      </c>
      <c r="B58" s="34">
        <v>455.46238879999999</v>
      </c>
      <c r="C58" s="34">
        <v>375.2213046</v>
      </c>
      <c r="D58" s="34">
        <v>315.68870399999997</v>
      </c>
      <c r="E58" s="34">
        <v>368.62958370000001</v>
      </c>
      <c r="F58" s="34">
        <v>440.56023420000002</v>
      </c>
      <c r="G58" s="34">
        <v>455.19781829999999</v>
      </c>
      <c r="H58" s="34">
        <v>449.920207</v>
      </c>
      <c r="I58" s="34">
        <v>459.2787988</v>
      </c>
      <c r="J58" s="34">
        <v>450.9995515</v>
      </c>
      <c r="K58" s="34">
        <v>527.900353</v>
      </c>
      <c r="L58" s="34">
        <v>471.63079720000002</v>
      </c>
      <c r="M58" s="34">
        <v>440.85715740000001</v>
      </c>
      <c r="N58" s="34">
        <v>495.53591820000003</v>
      </c>
      <c r="O58" s="34">
        <v>588.33706510000002</v>
      </c>
      <c r="P58" s="34">
        <v>970.01272200000005</v>
      </c>
      <c r="Q58" s="34">
        <v>1105.4205549999999</v>
      </c>
      <c r="R58" s="34">
        <v>1264.9116409999999</v>
      </c>
      <c r="S58" s="34">
        <v>1493.3335830000001</v>
      </c>
      <c r="T58" s="34">
        <v>1572.400531</v>
      </c>
      <c r="U58" s="34">
        <v>1821.04718</v>
      </c>
      <c r="V58" s="34">
        <v>2238.2170839999999</v>
      </c>
      <c r="W58" s="34">
        <v>2660.6128010000002</v>
      </c>
      <c r="X58" s="34">
        <v>2369.9506569999999</v>
      </c>
      <c r="Y58" s="34">
        <v>1988.787323</v>
      </c>
      <c r="Z58" s="34">
        <v>1912.4312709999999</v>
      </c>
      <c r="AA58" s="34">
        <v>1891.5624789999999</v>
      </c>
      <c r="AB58" s="34">
        <v>1648.0145600000001</v>
      </c>
      <c r="AC58" s="34">
        <v>1464.4929360000001</v>
      </c>
      <c r="AD58" s="34">
        <v>1337.889895</v>
      </c>
      <c r="AE58" s="34">
        <v>1390.2131139999999</v>
      </c>
      <c r="AF58" s="34">
        <v>1489.5299460000001</v>
      </c>
      <c r="AG58" s="34">
        <v>1622.2080880000001</v>
      </c>
      <c r="AH58" s="34">
        <v>1688.5047520000001</v>
      </c>
      <c r="AI58" s="34">
        <v>1727.755003</v>
      </c>
      <c r="AJ58" s="34">
        <v>2026.113077</v>
      </c>
      <c r="AK58" s="34">
        <v>2132.9067829999999</v>
      </c>
      <c r="AL58" s="34">
        <v>2155.5181499999999</v>
      </c>
      <c r="AM58" s="34">
        <v>2356.3698570000001</v>
      </c>
      <c r="AN58" s="34">
        <v>2293.8897350000002</v>
      </c>
      <c r="AO58" s="34">
        <v>1578.9342979999999</v>
      </c>
      <c r="AP58" s="34">
        <v>1445.2793240000001</v>
      </c>
      <c r="AQ58" s="34">
        <v>1894.6161959999999</v>
      </c>
      <c r="AR58" s="34">
        <v>2172.1018770000001</v>
      </c>
      <c r="AS58" s="34">
        <v>2425.851842</v>
      </c>
      <c r="AT58" s="34">
        <v>2691.277685</v>
      </c>
      <c r="AU58" s="34">
        <v>3002.1386040000002</v>
      </c>
      <c r="AV58" s="34">
        <v>3328.8841560000001</v>
      </c>
      <c r="AW58" s="34">
        <v>3567.8371860000002</v>
      </c>
      <c r="AX58" s="34">
        <v>4249.0189700000001</v>
      </c>
      <c r="AY58" s="34">
        <v>4231.6192350000001</v>
      </c>
      <c r="AZ58" s="34">
        <v>4633.5912840000001</v>
      </c>
      <c r="BA58" s="34">
        <v>5200.5551079999996</v>
      </c>
      <c r="BB58" s="34">
        <v>5682.0461079999995</v>
      </c>
      <c r="BC58" s="34">
        <v>6056.3312125381299</v>
      </c>
      <c r="BD58" s="34">
        <v>6377.0939289999997</v>
      </c>
      <c r="BE58" s="34">
        <v>6124.4908869999999</v>
      </c>
      <c r="BF58" s="34">
        <v>6060.0929619999997</v>
      </c>
      <c r="BG58" s="34">
        <v>6213.5031269999999</v>
      </c>
      <c r="BH58" s="34">
        <v>6295.9346619999997</v>
      </c>
      <c r="BI58" s="34">
        <v>6222.5246530000004</v>
      </c>
      <c r="BJ58" s="34">
        <v>5600.389615</v>
      </c>
    </row>
    <row r="59" spans="1:62">
      <c r="A59" s="1" t="s">
        <v>398</v>
      </c>
      <c r="B59" s="34">
        <v>0</v>
      </c>
      <c r="C59" s="34">
        <v>0</v>
      </c>
      <c r="D59" s="34">
        <v>0</v>
      </c>
      <c r="E59" s="34">
        <v>0</v>
      </c>
      <c r="F59" s="34">
        <v>0</v>
      </c>
      <c r="G59" s="34">
        <v>162.60847229999999</v>
      </c>
      <c r="H59" s="34">
        <v>168.96324039999999</v>
      </c>
      <c r="I59" s="34">
        <v>174.8626098</v>
      </c>
      <c r="J59" s="34">
        <v>180.41085369999999</v>
      </c>
      <c r="K59" s="34">
        <v>193.58604930000001</v>
      </c>
      <c r="L59" s="34">
        <v>233.0137095</v>
      </c>
      <c r="M59" s="34">
        <v>243.80682229999999</v>
      </c>
      <c r="N59" s="34">
        <v>257.58865079999998</v>
      </c>
      <c r="O59" s="34">
        <v>273.69860699999998</v>
      </c>
      <c r="P59" s="34">
        <v>244.74721489999999</v>
      </c>
      <c r="Q59" s="34">
        <v>301.7494289</v>
      </c>
      <c r="R59" s="34">
        <v>337.77436890000001</v>
      </c>
      <c r="S59" s="34">
        <v>357.0779478</v>
      </c>
      <c r="T59" s="34">
        <v>358.84779700000001</v>
      </c>
      <c r="U59" s="34">
        <v>426.34652390000002</v>
      </c>
      <c r="V59" s="34">
        <v>500.35504520000001</v>
      </c>
      <c r="W59" s="34">
        <v>498.55911589999999</v>
      </c>
      <c r="X59" s="34">
        <v>607.28152279999995</v>
      </c>
      <c r="Y59" s="34">
        <v>662.68728840000006</v>
      </c>
      <c r="Z59" s="34">
        <v>708.1957476</v>
      </c>
      <c r="AA59" s="34">
        <v>792.82404199999996</v>
      </c>
      <c r="AB59" s="34">
        <v>815.24869490000003</v>
      </c>
      <c r="AC59" s="34">
        <v>778.11688719999995</v>
      </c>
      <c r="AD59" s="34">
        <v>655.06780549999996</v>
      </c>
      <c r="AE59" s="34">
        <v>725.62980249999998</v>
      </c>
      <c r="AF59" s="34">
        <v>765.64200549999998</v>
      </c>
      <c r="AG59" s="34">
        <v>651.0775476</v>
      </c>
      <c r="AH59" s="34">
        <v>713.45254829999999</v>
      </c>
      <c r="AI59" s="34">
        <v>777.85773510000001</v>
      </c>
      <c r="AJ59" s="34">
        <v>849.45249909999995</v>
      </c>
      <c r="AK59" s="34">
        <v>965.11086939999996</v>
      </c>
      <c r="AL59" s="34">
        <v>1063.333044</v>
      </c>
      <c r="AM59" s="34">
        <v>1208.71992</v>
      </c>
      <c r="AN59" s="34">
        <v>1281.3969139999999</v>
      </c>
      <c r="AO59" s="34">
        <v>1343.5519629999999</v>
      </c>
      <c r="AP59" s="34">
        <v>1450.476242</v>
      </c>
      <c r="AQ59" s="34">
        <v>1378.203383</v>
      </c>
      <c r="AR59" s="34">
        <v>1191.103239</v>
      </c>
      <c r="AS59" s="34">
        <v>1102.4681989999999</v>
      </c>
      <c r="AT59" s="34">
        <v>1062.1580919999999</v>
      </c>
      <c r="AU59" s="34">
        <v>1186.393313</v>
      </c>
      <c r="AV59" s="34">
        <v>1397.43669</v>
      </c>
      <c r="AW59" s="34">
        <v>1667.317998</v>
      </c>
      <c r="AX59" s="34">
        <v>2044.5278040000001</v>
      </c>
      <c r="AY59" s="34">
        <v>2331.2688400000002</v>
      </c>
      <c r="AZ59" s="34">
        <v>2645.9687589999999</v>
      </c>
      <c r="BA59" s="34">
        <v>2791.8107660000001</v>
      </c>
      <c r="BB59" s="34">
        <v>3229.6856299999999</v>
      </c>
      <c r="BC59" s="34">
        <v>3262.6575864710398</v>
      </c>
      <c r="BD59" s="34">
        <v>3379.5579859999998</v>
      </c>
      <c r="BE59" s="34">
        <v>3562.9326580000002</v>
      </c>
      <c r="BF59" s="34">
        <v>3519.8732399999999</v>
      </c>
      <c r="BG59" s="34">
        <v>2444.290387</v>
      </c>
      <c r="BH59" s="34">
        <v>2537.1251849999999</v>
      </c>
      <c r="BI59" s="34">
        <v>3019.092283</v>
      </c>
      <c r="BJ59" s="34">
        <v>3569.2068410000002</v>
      </c>
    </row>
    <row r="60" spans="1:62">
      <c r="A60" s="1" t="s">
        <v>1149</v>
      </c>
      <c r="B60" s="34">
        <v>396.39225329999999</v>
      </c>
      <c r="C60" s="34">
        <v>450.05328919999999</v>
      </c>
      <c r="D60" s="34">
        <v>520.2061314</v>
      </c>
      <c r="E60" s="34">
        <v>609.48738409999999</v>
      </c>
      <c r="F60" s="34">
        <v>675.24163910000004</v>
      </c>
      <c r="G60" s="34">
        <v>774.76160930000003</v>
      </c>
      <c r="H60" s="34">
        <v>889.65987199999995</v>
      </c>
      <c r="I60" s="34">
        <v>968.30678179999995</v>
      </c>
      <c r="J60" s="34">
        <v>950.54574060000004</v>
      </c>
      <c r="K60" s="34">
        <v>1077.6786999999999</v>
      </c>
      <c r="L60" s="34">
        <v>1212.2893260000001</v>
      </c>
      <c r="M60" s="34">
        <v>1362.165524</v>
      </c>
      <c r="N60" s="34">
        <v>1708.8086290000001</v>
      </c>
      <c r="O60" s="34">
        <v>2247.5533770000002</v>
      </c>
      <c r="P60" s="34">
        <v>2749.9246629999998</v>
      </c>
      <c r="Q60" s="34">
        <v>3209.8374450000001</v>
      </c>
      <c r="R60" s="34">
        <v>3279.3126710000001</v>
      </c>
      <c r="S60" s="34">
        <v>3627.5906629999999</v>
      </c>
      <c r="T60" s="34">
        <v>4356.4392200000002</v>
      </c>
      <c r="U60" s="34">
        <v>5770.2146140000004</v>
      </c>
      <c r="V60" s="34">
        <v>6208.5780189999996</v>
      </c>
      <c r="W60" s="34">
        <v>5371.1664360000004</v>
      </c>
      <c r="X60" s="34">
        <v>5159.7086449999997</v>
      </c>
      <c r="Y60" s="34">
        <v>4478.5002860000004</v>
      </c>
      <c r="Z60" s="34">
        <v>4489.9889389999998</v>
      </c>
      <c r="AA60" s="34">
        <v>4699.6557640000001</v>
      </c>
      <c r="AB60" s="34">
        <v>6513.5032860000001</v>
      </c>
      <c r="AC60" s="34">
        <v>8239.6138019999999</v>
      </c>
      <c r="AD60" s="34">
        <v>9703.1238379999995</v>
      </c>
      <c r="AE60" s="34">
        <v>10681.9712</v>
      </c>
      <c r="AF60" s="34">
        <v>13804.87679</v>
      </c>
      <c r="AG60" s="34">
        <v>14811.902819999999</v>
      </c>
      <c r="AH60" s="34">
        <v>16112.188920000001</v>
      </c>
      <c r="AI60" s="34">
        <v>13339.90856</v>
      </c>
      <c r="AJ60" s="34">
        <v>13415.287</v>
      </c>
      <c r="AK60" s="34">
        <v>15471.96272</v>
      </c>
      <c r="AL60" s="34">
        <v>16109.0844</v>
      </c>
      <c r="AM60" s="34">
        <v>14730.79718</v>
      </c>
      <c r="AN60" s="34">
        <v>15394.35146</v>
      </c>
      <c r="AO60" s="34">
        <v>15715.332270000001</v>
      </c>
      <c r="AP60" s="34">
        <v>14713.065710000001</v>
      </c>
      <c r="AQ60" s="34">
        <v>15355.703170000001</v>
      </c>
      <c r="AR60" s="34">
        <v>17025.53198</v>
      </c>
      <c r="AS60" s="34">
        <v>21463.442660000001</v>
      </c>
      <c r="AT60" s="34">
        <v>24861.282800000001</v>
      </c>
      <c r="AU60" s="34">
        <v>26419.296859999999</v>
      </c>
      <c r="AV60" s="34">
        <v>28365.31349</v>
      </c>
      <c r="AW60" s="34">
        <v>32549.970979999998</v>
      </c>
      <c r="AX60" s="34">
        <v>35366.259599999998</v>
      </c>
      <c r="AY60" s="34">
        <v>32042.47408</v>
      </c>
      <c r="AZ60" s="34">
        <v>30502.719710000001</v>
      </c>
      <c r="BA60" s="34">
        <v>31636.446309999999</v>
      </c>
      <c r="BB60" s="34">
        <v>28324.429339999999</v>
      </c>
      <c r="BC60" s="34">
        <v>29059.5479522321</v>
      </c>
      <c r="BD60" s="34">
        <v>29461.550329999998</v>
      </c>
      <c r="BE60" s="34">
        <v>25732.018359999998</v>
      </c>
      <c r="BF60" s="34">
        <v>26505.343219999999</v>
      </c>
      <c r="BG60" s="34">
        <v>28100.586240000001</v>
      </c>
      <c r="BH60" s="34">
        <v>30349.752100000002</v>
      </c>
      <c r="BI60" s="34">
        <v>29555.315699999999</v>
      </c>
      <c r="BJ60" s="34">
        <v>27063.193920000002</v>
      </c>
    </row>
    <row r="61" spans="1:62">
      <c r="A61" s="1" t="s">
        <v>1061</v>
      </c>
      <c r="B61" s="34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3134.3897529999999</v>
      </c>
      <c r="AL61" s="34">
        <v>3380.9263019999999</v>
      </c>
      <c r="AM61" s="34">
        <v>3682.9523009999998</v>
      </c>
      <c r="AN61" s="34">
        <v>4093.3924769999999</v>
      </c>
      <c r="AO61" s="34">
        <v>4140.9366019999998</v>
      </c>
      <c r="AP61" s="34">
        <v>4070.6090239999999</v>
      </c>
      <c r="AQ61" s="34">
        <v>4505.8583319999998</v>
      </c>
      <c r="AR61" s="34">
        <v>5341.6289470000002</v>
      </c>
      <c r="AS61" s="34">
        <v>7203.5230380000003</v>
      </c>
      <c r="AT61" s="34">
        <v>8914.1035570000004</v>
      </c>
      <c r="AU61" s="34">
        <v>10412.64431</v>
      </c>
      <c r="AV61" s="34">
        <v>12639.40007</v>
      </c>
      <c r="AW61" s="34">
        <v>16744.584449999998</v>
      </c>
      <c r="AX61" s="34">
        <v>18204.966479999999</v>
      </c>
      <c r="AY61" s="34">
        <v>14711.735269999999</v>
      </c>
      <c r="AZ61" s="34">
        <v>14663.044610000001</v>
      </c>
      <c r="BA61" s="34">
        <v>17464.92008</v>
      </c>
      <c r="BB61" s="34">
        <v>17404.200799999999</v>
      </c>
      <c r="BC61" s="34">
        <v>19050.585920900001</v>
      </c>
      <c r="BD61" s="34">
        <v>20234.117419999999</v>
      </c>
      <c r="BE61" s="34">
        <v>17395.04062</v>
      </c>
      <c r="BF61" s="34">
        <v>18282.92339</v>
      </c>
      <c r="BG61" s="34">
        <v>20387.283149999999</v>
      </c>
      <c r="BH61" s="34">
        <v>23052.30126</v>
      </c>
      <c r="BI61" s="34">
        <v>23397.120009999999</v>
      </c>
      <c r="BJ61" s="34">
        <v>23027.026999999998</v>
      </c>
    </row>
    <row r="62" spans="1:62">
      <c r="A62" s="1" t="s">
        <v>428</v>
      </c>
      <c r="B62" s="34">
        <v>0</v>
      </c>
      <c r="C62" s="34">
        <v>0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203.5570003</v>
      </c>
      <c r="X62" s="34">
        <v>208.3423913</v>
      </c>
      <c r="Y62" s="34">
        <v>224.62740020000001</v>
      </c>
      <c r="Z62" s="34">
        <v>205.62379290000001</v>
      </c>
      <c r="AA62" s="34">
        <v>233.21869609999999</v>
      </c>
      <c r="AB62" s="34">
        <v>234.6821764</v>
      </c>
      <c r="AC62" s="34">
        <v>242.9615459</v>
      </c>
      <c r="AD62" s="34">
        <v>243.7358577</v>
      </c>
      <c r="AE62" s="34">
        <v>248.0227457</v>
      </c>
      <c r="AF62" s="34">
        <v>254.2432622</v>
      </c>
      <c r="AG62" s="34">
        <v>271.39437349999997</v>
      </c>
      <c r="AH62" s="34">
        <v>204.05018150000001</v>
      </c>
      <c r="AI62" s="34">
        <v>165.693228</v>
      </c>
      <c r="AJ62" s="34">
        <v>125.5495813</v>
      </c>
      <c r="AK62" s="34">
        <v>134.34296019999999</v>
      </c>
      <c r="AL62" s="34">
        <v>145.16690130000001</v>
      </c>
      <c r="AM62" s="34">
        <v>141.50861990000001</v>
      </c>
      <c r="AN62" s="34">
        <v>125.0761411</v>
      </c>
      <c r="AO62" s="34">
        <v>119.6840763</v>
      </c>
      <c r="AP62" s="34">
        <v>124.46079090000001</v>
      </c>
      <c r="AQ62" s="34">
        <v>120.7657837</v>
      </c>
      <c r="AR62" s="34">
        <v>111.9272251</v>
      </c>
      <c r="AS62" s="34">
        <v>119.490396</v>
      </c>
      <c r="AT62" s="34">
        <v>136.46625</v>
      </c>
      <c r="AU62" s="34">
        <v>162.43272859999999</v>
      </c>
      <c r="AV62" s="34">
        <v>194.6874329</v>
      </c>
      <c r="AW62" s="34">
        <v>244.28605229999999</v>
      </c>
      <c r="AX62" s="34">
        <v>326.43682280000002</v>
      </c>
      <c r="AY62" s="34">
        <v>380.5690032</v>
      </c>
      <c r="AZ62" s="34">
        <v>341.55412269999999</v>
      </c>
      <c r="BA62" s="34">
        <v>354.4795719</v>
      </c>
      <c r="BB62" s="34">
        <v>467.07787180000003</v>
      </c>
      <c r="BC62" s="34">
        <v>499.531530164228</v>
      </c>
      <c r="BD62" s="34">
        <v>566.92640289999997</v>
      </c>
      <c r="BE62" s="34">
        <v>640.54192309999996</v>
      </c>
      <c r="BF62" s="34">
        <v>717.12486980000006</v>
      </c>
      <c r="BG62" s="34">
        <v>768.52301539999996</v>
      </c>
      <c r="BH62" s="34">
        <v>771.52486629999999</v>
      </c>
      <c r="BI62" s="34">
        <v>855.76088519999996</v>
      </c>
      <c r="BJ62" s="34">
        <v>936.34046109999997</v>
      </c>
    </row>
    <row r="63" spans="1:62">
      <c r="A63" s="1" t="s">
        <v>1065</v>
      </c>
      <c r="B63" s="34">
        <v>1179.3530109999999</v>
      </c>
      <c r="C63" s="34">
        <v>1327.427224</v>
      </c>
      <c r="D63" s="34">
        <v>1411.7023979999999</v>
      </c>
      <c r="E63" s="34">
        <v>1522.319242</v>
      </c>
      <c r="F63" s="34">
        <v>1707.5039380000001</v>
      </c>
      <c r="G63" s="34">
        <v>1882.0868579999999</v>
      </c>
      <c r="H63" s="34">
        <v>2010.213456</v>
      </c>
      <c r="I63" s="34">
        <v>2034.18905</v>
      </c>
      <c r="J63" s="34">
        <v>1907.077272</v>
      </c>
      <c r="K63" s="34">
        <v>2178.0352499999999</v>
      </c>
      <c r="L63" s="34">
        <v>2465.6448190000001</v>
      </c>
      <c r="M63" s="34">
        <v>2716.1900919999998</v>
      </c>
      <c r="N63" s="34">
        <v>3177.6457009999999</v>
      </c>
      <c r="O63" s="34">
        <v>4173.1730470000002</v>
      </c>
      <c r="P63" s="34">
        <v>5297.6078170000001</v>
      </c>
      <c r="Q63" s="34">
        <v>6255.5446410000004</v>
      </c>
      <c r="R63" s="34">
        <v>6739.690713</v>
      </c>
      <c r="S63" s="34">
        <v>7069.1057380000002</v>
      </c>
      <c r="T63" s="34">
        <v>7628.8157140000003</v>
      </c>
      <c r="U63" s="34">
        <v>9332.2452639999992</v>
      </c>
      <c r="V63" s="34">
        <v>11223.93756</v>
      </c>
      <c r="W63" s="34">
        <v>10926.81797</v>
      </c>
      <c r="X63" s="34">
        <v>10938.12206</v>
      </c>
      <c r="Y63" s="34">
        <v>10497.48</v>
      </c>
      <c r="Z63" s="34">
        <v>10833.86629</v>
      </c>
      <c r="AA63" s="34">
        <v>11398.105949999999</v>
      </c>
      <c r="AB63" s="34">
        <v>14951.04679</v>
      </c>
      <c r="AC63" s="34">
        <v>18571.059929999999</v>
      </c>
      <c r="AD63" s="34">
        <v>22047.793320000001</v>
      </c>
      <c r="AE63" s="34">
        <v>23973.23948</v>
      </c>
      <c r="AF63" s="34">
        <v>28364.645079999998</v>
      </c>
      <c r="AG63" s="34">
        <v>25484.739290000001</v>
      </c>
      <c r="AH63" s="34">
        <v>22319.05946</v>
      </c>
      <c r="AI63" s="34">
        <v>17608.812389999999</v>
      </c>
      <c r="AJ63" s="34">
        <v>20301.33309</v>
      </c>
      <c r="AK63" s="34">
        <v>26271.59981</v>
      </c>
      <c r="AL63" s="34">
        <v>25783.450489999999</v>
      </c>
      <c r="AM63" s="34">
        <v>24691.872810000001</v>
      </c>
      <c r="AN63" s="34">
        <v>26009.269489999999</v>
      </c>
      <c r="AO63" s="34">
        <v>26177.347979999999</v>
      </c>
      <c r="AP63" s="34">
        <v>24285.466820000001</v>
      </c>
      <c r="AQ63" s="34">
        <v>24946.189190000001</v>
      </c>
      <c r="AR63" s="34">
        <v>26869.674900000002</v>
      </c>
      <c r="AS63" s="34">
        <v>32855.13263</v>
      </c>
      <c r="AT63" s="34">
        <v>37702.845379999999</v>
      </c>
      <c r="AU63" s="34">
        <v>39040.28888</v>
      </c>
      <c r="AV63" s="34">
        <v>41188.093699999998</v>
      </c>
      <c r="AW63" s="34">
        <v>48414.845090000003</v>
      </c>
      <c r="AX63" s="34">
        <v>53554.038919999999</v>
      </c>
      <c r="AY63" s="34">
        <v>47293.992830000003</v>
      </c>
      <c r="AZ63" s="34">
        <v>46459.973250000003</v>
      </c>
      <c r="BA63" s="34">
        <v>51081.997669999997</v>
      </c>
      <c r="BB63" s="34">
        <v>47710.790220000003</v>
      </c>
      <c r="BC63" s="34">
        <v>49878.043244453598</v>
      </c>
      <c r="BD63" s="34">
        <v>50260.299859999999</v>
      </c>
      <c r="BE63" s="34">
        <v>42784.698360000002</v>
      </c>
      <c r="BF63" s="34">
        <v>43784.283960000001</v>
      </c>
      <c r="BG63" s="34">
        <v>46297.496350000001</v>
      </c>
      <c r="BH63" s="34">
        <v>49964.499909999999</v>
      </c>
      <c r="BI63" s="34">
        <v>48678.314129999999</v>
      </c>
      <c r="BJ63" s="34">
        <v>48773.281170000002</v>
      </c>
    </row>
    <row r="64" spans="1:62">
      <c r="A64" s="1" t="s">
        <v>1064</v>
      </c>
      <c r="B64" s="34">
        <v>285.47428609999997</v>
      </c>
      <c r="C64" s="34">
        <v>287.2670559</v>
      </c>
      <c r="D64" s="34">
        <v>291.47333350000002</v>
      </c>
      <c r="E64" s="34">
        <v>296.70831650000002</v>
      </c>
      <c r="F64" s="34">
        <v>310.81227660000002</v>
      </c>
      <c r="G64" s="34">
        <v>317.02032509999998</v>
      </c>
      <c r="H64" s="34">
        <v>316.12981029999997</v>
      </c>
      <c r="I64" s="34">
        <v>333.26820509999999</v>
      </c>
      <c r="J64" s="34">
        <v>334.61257599999999</v>
      </c>
      <c r="K64" s="34">
        <v>357.4243836</v>
      </c>
      <c r="L64" s="34">
        <v>422.3875438</v>
      </c>
      <c r="M64" s="34">
        <v>466.02534830000002</v>
      </c>
      <c r="N64" s="34">
        <v>583.31876609999995</v>
      </c>
      <c r="O64" s="34">
        <v>768.68851429999995</v>
      </c>
      <c r="P64" s="34">
        <v>987.92375000000004</v>
      </c>
      <c r="Q64" s="34">
        <v>1186.6760790000001</v>
      </c>
      <c r="R64" s="34">
        <v>1182.0941339999999</v>
      </c>
      <c r="S64" s="34">
        <v>1202.631355</v>
      </c>
      <c r="T64" s="34">
        <v>1360.7854010000001</v>
      </c>
      <c r="U64" s="34">
        <v>1640.5569109999999</v>
      </c>
      <c r="V64" s="34">
        <v>1892.8768219999999</v>
      </c>
      <c r="W64" s="34">
        <v>1898.0108640000001</v>
      </c>
      <c r="X64" s="34">
        <v>1786.8571669999999</v>
      </c>
      <c r="Y64" s="34">
        <v>1638.383941</v>
      </c>
      <c r="Z64" s="34">
        <v>1681.7050839999999</v>
      </c>
      <c r="AA64" s="34">
        <v>1603.2193540000001</v>
      </c>
      <c r="AB64" s="34">
        <v>1795.3704580000001</v>
      </c>
      <c r="AC64" s="34">
        <v>1631.9581029999999</v>
      </c>
      <c r="AD64" s="34">
        <v>1535.399195</v>
      </c>
      <c r="AE64" s="34">
        <v>1632.187846</v>
      </c>
      <c r="AF64" s="34">
        <v>1835.1230579999999</v>
      </c>
      <c r="AG64" s="34">
        <v>1881.761794</v>
      </c>
      <c r="AH64" s="34">
        <v>2058.3796029999999</v>
      </c>
      <c r="AI64" s="34">
        <v>2167.0954539999998</v>
      </c>
      <c r="AJ64" s="34">
        <v>2384.7264559999999</v>
      </c>
      <c r="AK64" s="34">
        <v>2540.9808790000002</v>
      </c>
      <c r="AL64" s="34">
        <v>2713.827761</v>
      </c>
      <c r="AM64" s="34">
        <v>2636.6721600000001</v>
      </c>
      <c r="AN64" s="34">
        <v>2066.0688540000001</v>
      </c>
      <c r="AO64" s="34">
        <v>2401.6864220000002</v>
      </c>
      <c r="AP64" s="34">
        <v>2069.3174549999999</v>
      </c>
      <c r="AQ64" s="34">
        <v>2030.246351</v>
      </c>
      <c r="AR64" s="34">
        <v>2248.714191</v>
      </c>
      <c r="AS64" s="34">
        <v>2818.91392</v>
      </c>
      <c r="AT64" s="34">
        <v>3311.1598949999998</v>
      </c>
      <c r="AU64" s="34">
        <v>3627.6328560000002</v>
      </c>
      <c r="AV64" s="34">
        <v>3715.9326569999998</v>
      </c>
      <c r="AW64" s="34">
        <v>4040.1521189999999</v>
      </c>
      <c r="AX64" s="34">
        <v>4167.6949350000004</v>
      </c>
      <c r="AY64" s="34">
        <v>3362.8204949999999</v>
      </c>
      <c r="AZ64" s="34">
        <v>3652.5359330000001</v>
      </c>
      <c r="BA64" s="34">
        <v>4371.4473850000004</v>
      </c>
      <c r="BB64" s="34">
        <v>4591.5770149999998</v>
      </c>
      <c r="BC64" s="34">
        <v>4840.72726987242</v>
      </c>
      <c r="BD64" s="34">
        <v>5605.6091479999995</v>
      </c>
      <c r="BE64" s="34">
        <v>5390.714207</v>
      </c>
      <c r="BF64" s="34">
        <v>5651.2727210000003</v>
      </c>
      <c r="BG64" s="34">
        <v>6101.0238900000004</v>
      </c>
      <c r="BH64" s="34">
        <v>6317.4137199999996</v>
      </c>
      <c r="BI64" s="34">
        <v>6175.8906530000004</v>
      </c>
      <c r="BJ64" s="34">
        <v>5057.6319130000002</v>
      </c>
    </row>
    <row r="65" spans="1:62">
      <c r="A65" s="1" t="s">
        <v>1067</v>
      </c>
      <c r="B65" s="34">
        <v>1334.6895119999999</v>
      </c>
      <c r="C65" s="34">
        <v>1428.0460009999999</v>
      </c>
      <c r="D65" s="34">
        <v>1578.2845380000001</v>
      </c>
      <c r="E65" s="34">
        <v>1744.6401229999999</v>
      </c>
      <c r="F65" s="34">
        <v>1909.54162</v>
      </c>
      <c r="G65" s="34">
        <v>2038.163102</v>
      </c>
      <c r="H65" s="34">
        <v>2186.474592</v>
      </c>
      <c r="I65" s="34">
        <v>2343.104503</v>
      </c>
      <c r="J65" s="34">
        <v>2536.085114</v>
      </c>
      <c r="K65" s="34">
        <v>2752.0951140000002</v>
      </c>
      <c r="L65" s="34">
        <v>2857.2516820000001</v>
      </c>
      <c r="M65" s="34">
        <v>3169.0363229999998</v>
      </c>
      <c r="N65" s="34">
        <v>3854.5558350000001</v>
      </c>
      <c r="O65" s="34">
        <v>4969.7629779999997</v>
      </c>
      <c r="P65" s="34">
        <v>5328.241548</v>
      </c>
      <c r="Q65" s="34">
        <v>6690.57827</v>
      </c>
      <c r="R65" s="34">
        <v>6866.8168919999998</v>
      </c>
      <c r="S65" s="34">
        <v>7532.5269600000001</v>
      </c>
      <c r="T65" s="34">
        <v>9264.7752930000006</v>
      </c>
      <c r="U65" s="34">
        <v>11179.632900000001</v>
      </c>
      <c r="V65" s="34">
        <v>12713.365169999999</v>
      </c>
      <c r="W65" s="34">
        <v>11104.98134</v>
      </c>
      <c r="X65" s="34">
        <v>10496.928550000001</v>
      </c>
      <c r="Y65" s="34">
        <v>9993.421182</v>
      </c>
      <c r="Z65" s="34">
        <v>9419.6961429999992</v>
      </c>
      <c r="AA65" s="34">
        <v>9763.3274039999997</v>
      </c>
      <c r="AB65" s="34">
        <v>13540.246370000001</v>
      </c>
      <c r="AC65" s="34">
        <v>16302.44738</v>
      </c>
      <c r="AD65" s="34">
        <v>17679.99669</v>
      </c>
      <c r="AE65" s="34">
        <v>17694.30932</v>
      </c>
      <c r="AF65" s="34">
        <v>21793.83554</v>
      </c>
      <c r="AG65" s="34">
        <v>21675.064989999999</v>
      </c>
      <c r="AH65" s="34">
        <v>23813.71225</v>
      </c>
      <c r="AI65" s="34">
        <v>22380.107749999999</v>
      </c>
      <c r="AJ65" s="34">
        <v>23496.52015</v>
      </c>
      <c r="AK65" s="34">
        <v>26890.217619999999</v>
      </c>
      <c r="AL65" s="34">
        <v>26871.831269999999</v>
      </c>
      <c r="AM65" s="34">
        <v>24228.946390000001</v>
      </c>
      <c r="AN65" s="34">
        <v>24974.273860000001</v>
      </c>
      <c r="AO65" s="34">
        <v>24673.20305</v>
      </c>
      <c r="AP65" s="34">
        <v>22364.02939</v>
      </c>
      <c r="AQ65" s="34">
        <v>22433.554980000001</v>
      </c>
      <c r="AR65" s="34">
        <v>24177.33556</v>
      </c>
      <c r="AS65" s="34">
        <v>29568.388800000001</v>
      </c>
      <c r="AT65" s="34">
        <v>33741.261919999997</v>
      </c>
      <c r="AU65" s="34">
        <v>34760.185019999997</v>
      </c>
      <c r="AV65" s="34">
        <v>36443.62631</v>
      </c>
      <c r="AW65" s="34">
        <v>41508.432690000001</v>
      </c>
      <c r="AX65" s="34">
        <v>45334.117960000003</v>
      </c>
      <c r="AY65" s="34">
        <v>41575.42196</v>
      </c>
      <c r="AZ65" s="34">
        <v>40638.335249999996</v>
      </c>
      <c r="BA65" s="34">
        <v>43790.726020000002</v>
      </c>
      <c r="BB65" s="34">
        <v>40874.700389999998</v>
      </c>
      <c r="BC65" s="34">
        <v>42592.935385054901</v>
      </c>
      <c r="BD65" s="34">
        <v>43011.263099999996</v>
      </c>
      <c r="BE65" s="34">
        <v>36638.184930000003</v>
      </c>
      <c r="BF65" s="34">
        <v>37037.374190000002</v>
      </c>
      <c r="BG65" s="34">
        <v>38685.25849</v>
      </c>
      <c r="BH65" s="34">
        <v>41572.485009999997</v>
      </c>
      <c r="BI65" s="34">
        <v>40578.644289999997</v>
      </c>
      <c r="BJ65" s="34">
        <v>39030.360370000002</v>
      </c>
    </row>
    <row r="66" spans="1:62">
      <c r="A66" s="1" t="s">
        <v>1175</v>
      </c>
      <c r="B66" s="34">
        <v>0</v>
      </c>
      <c r="C66" s="34">
        <v>0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24035.289639999999</v>
      </c>
      <c r="AO66" s="34">
        <v>24129.41289</v>
      </c>
      <c r="AP66" s="34">
        <v>22651.861980000001</v>
      </c>
      <c r="AQ66" s="34">
        <v>24418.703280000002</v>
      </c>
      <c r="AR66" s="34">
        <v>26731.65857</v>
      </c>
      <c r="AS66" s="34">
        <v>31493.319149999999</v>
      </c>
      <c r="AT66" s="34">
        <v>35467.175470000002</v>
      </c>
      <c r="AU66" s="34">
        <v>36198.543769999997</v>
      </c>
      <c r="AV66" s="34">
        <v>41521.675060000001</v>
      </c>
      <c r="AW66" s="34">
        <v>47885.698880000004</v>
      </c>
      <c r="AX66" s="34">
        <v>50863.95379</v>
      </c>
      <c r="AY66" s="34">
        <v>47441.915979999998</v>
      </c>
      <c r="AZ66" s="34">
        <v>48541.401189999997</v>
      </c>
      <c r="BA66" s="34">
        <v>52092.60338</v>
      </c>
      <c r="BB66" s="34">
        <v>49459.717230000002</v>
      </c>
      <c r="BC66" s="34">
        <v>54843.319285220598</v>
      </c>
      <c r="BD66" s="34">
        <v>59433.834569999999</v>
      </c>
      <c r="BE66" s="34">
        <v>52400.297279999999</v>
      </c>
      <c r="BF66" s="34">
        <v>56854.102650000001</v>
      </c>
      <c r="BG66" s="34">
        <v>59993.090629999999</v>
      </c>
      <c r="BH66" s="34">
        <v>62918.146189999999</v>
      </c>
      <c r="BI66" s="34">
        <v>64225.264900000002</v>
      </c>
      <c r="BJ66" s="34">
        <v>0</v>
      </c>
    </row>
    <row r="67" spans="1:62">
      <c r="A67" s="1" t="s">
        <v>1127</v>
      </c>
      <c r="B67" s="34">
        <v>0</v>
      </c>
      <c r="C67" s="34">
        <v>0</v>
      </c>
      <c r="D67" s="34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4">
        <v>0</v>
      </c>
      <c r="Q67" s="34">
        <v>0</v>
      </c>
      <c r="R67" s="34">
        <v>0</v>
      </c>
      <c r="S67" s="34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1320.8483189999999</v>
      </c>
      <c r="Z67" s="34">
        <v>0</v>
      </c>
      <c r="AA67" s="34">
        <v>0</v>
      </c>
      <c r="AB67" s="34">
        <v>1276.5061889999999</v>
      </c>
      <c r="AC67" s="34">
        <v>1296.8828140000001</v>
      </c>
      <c r="AD67" s="34">
        <v>1355.6705509999999</v>
      </c>
      <c r="AE67" s="34">
        <v>1437.349833</v>
      </c>
      <c r="AF67" s="34">
        <v>1528.493105</v>
      </c>
      <c r="AG67" s="34">
        <v>1682.5438610000001</v>
      </c>
      <c r="AH67" s="34">
        <v>1756.6527920000001</v>
      </c>
      <c r="AI67" s="34">
        <v>1909.510014</v>
      </c>
      <c r="AJ67" s="34">
        <v>1909.8368390000001</v>
      </c>
      <c r="AK67" s="34">
        <v>2060.4947229999998</v>
      </c>
      <c r="AL67" s="34">
        <v>2017.6593330000001</v>
      </c>
      <c r="AM67" s="34">
        <v>1904.863883</v>
      </c>
      <c r="AN67" s="34">
        <v>2022.74458</v>
      </c>
      <c r="AO67" s="34">
        <v>2042.7070859999999</v>
      </c>
      <c r="AP67" s="34">
        <v>2171.8895769999999</v>
      </c>
      <c r="AQ67" s="34">
        <v>2248.492115</v>
      </c>
      <c r="AR67" s="34">
        <v>2265.9441080000001</v>
      </c>
      <c r="AS67" s="34">
        <v>2295.8681780000002</v>
      </c>
      <c r="AT67" s="34">
        <v>2253.1137450000001</v>
      </c>
      <c r="AU67" s="34">
        <v>2358.1466999999998</v>
      </c>
      <c r="AV67" s="34">
        <v>2406.1144119999999</v>
      </c>
      <c r="AW67" s="34">
        <v>2458.658394</v>
      </c>
      <c r="AX67" s="34">
        <v>2541.2616250000001</v>
      </c>
      <c r="AY67" s="34">
        <v>2721.9760900000001</v>
      </c>
      <c r="AZ67" s="34">
        <v>2885.305492</v>
      </c>
      <c r="BA67" s="34">
        <v>3009.2568249999999</v>
      </c>
      <c r="BB67" s="34">
        <v>3131.3867150000001</v>
      </c>
      <c r="BC67" s="34">
        <v>2994.7923944034301</v>
      </c>
      <c r="BD67" s="34">
        <v>2971.5126019999998</v>
      </c>
      <c r="BE67" s="34">
        <v>2906.6170120000002</v>
      </c>
      <c r="BF67" s="34">
        <v>3014.7003580000001</v>
      </c>
      <c r="BG67" s="34">
        <v>3289.6421169999999</v>
      </c>
      <c r="BH67" s="34">
        <v>3568.2910160000001</v>
      </c>
      <c r="BI67" s="34">
        <v>3585.3924489999999</v>
      </c>
      <c r="BJ67" s="34">
        <v>3565.2932940000001</v>
      </c>
    </row>
    <row r="68" spans="1:62">
      <c r="A68" s="1" t="s">
        <v>1038</v>
      </c>
      <c r="B68" s="34">
        <v>282.41717949999997</v>
      </c>
      <c r="C68" s="34">
        <v>331.43580179999998</v>
      </c>
      <c r="D68" s="34">
        <v>357.52376170000002</v>
      </c>
      <c r="E68" s="34">
        <v>298.47044620000003</v>
      </c>
      <c r="F68" s="34">
        <v>410.90408350000001</v>
      </c>
      <c r="G68" s="34">
        <v>424.6204429</v>
      </c>
      <c r="H68" s="34">
        <v>452.66282660000002</v>
      </c>
      <c r="I68" s="34">
        <v>490.10327560000002</v>
      </c>
      <c r="J68" s="34">
        <v>520.48042120000002</v>
      </c>
      <c r="K68" s="34">
        <v>550.72795880000001</v>
      </c>
      <c r="L68" s="34">
        <v>549.45381769999995</v>
      </c>
      <c r="M68" s="34">
        <v>635.50114729999996</v>
      </c>
      <c r="N68" s="34">
        <v>703.78427139999997</v>
      </c>
      <c r="O68" s="34">
        <v>1160.3218119999999</v>
      </c>
      <c r="P68" s="34">
        <v>2432.8361799999998</v>
      </c>
      <c r="Q68" s="34">
        <v>3331.994318</v>
      </c>
      <c r="R68" s="34">
        <v>4550.0741930000004</v>
      </c>
      <c r="S68" s="34">
        <v>4154.2194680000002</v>
      </c>
      <c r="T68" s="34">
        <v>3452.6155570000001</v>
      </c>
      <c r="U68" s="34">
        <v>4275.2573640000001</v>
      </c>
      <c r="V68" s="34">
        <v>5892.0992850000002</v>
      </c>
      <c r="W68" s="34">
        <v>5186.377144</v>
      </c>
      <c r="X68" s="34">
        <v>4736.0338940000001</v>
      </c>
      <c r="Y68" s="34">
        <v>4325.2978499999999</v>
      </c>
      <c r="Z68" s="34">
        <v>4423.5205100000003</v>
      </c>
      <c r="AA68" s="34">
        <v>4038.0685440000002</v>
      </c>
      <c r="AB68" s="34">
        <v>4004.0352750000002</v>
      </c>
      <c r="AC68" s="34">
        <v>3755.4708169999999</v>
      </c>
      <c r="AD68" s="34">
        <v>4267.8050940000003</v>
      </c>
      <c r="AE68" s="34">
        <v>4532.1511389999996</v>
      </c>
      <c r="AF68" s="34">
        <v>6268.9180079999996</v>
      </c>
      <c r="AG68" s="34">
        <v>5536.9983730000004</v>
      </c>
      <c r="AH68" s="34">
        <v>5578.0385550000001</v>
      </c>
      <c r="AI68" s="34">
        <v>4252.0653480000001</v>
      </c>
      <c r="AJ68" s="34">
        <v>3963.879297</v>
      </c>
      <c r="AK68" s="34">
        <v>4570.5713040000001</v>
      </c>
      <c r="AL68" s="34">
        <v>5116.1966249999996</v>
      </c>
      <c r="AM68" s="34">
        <v>4667.1931210000002</v>
      </c>
      <c r="AN68" s="34">
        <v>3831.7806679999999</v>
      </c>
      <c r="AO68" s="34">
        <v>3888.8794670000002</v>
      </c>
      <c r="AP68" s="34">
        <v>4135.9923799999997</v>
      </c>
      <c r="AQ68" s="34">
        <v>3993.031336</v>
      </c>
      <c r="AR68" s="34">
        <v>4141.4343660000004</v>
      </c>
      <c r="AS68" s="34">
        <v>4933.4621699999998</v>
      </c>
      <c r="AT68" s="34">
        <v>5739.6132040000002</v>
      </c>
      <c r="AU68" s="34">
        <v>6891.3619200000003</v>
      </c>
      <c r="AV68" s="34">
        <v>7221.3698770000001</v>
      </c>
      <c r="AW68" s="34">
        <v>8458.3091789999999</v>
      </c>
      <c r="AX68" s="34">
        <v>10254.17196</v>
      </c>
      <c r="AY68" s="34">
        <v>7721.0189529999998</v>
      </c>
      <c r="AZ68" s="34">
        <v>8849.3226080000004</v>
      </c>
      <c r="BA68" s="34">
        <v>10809.684950000001</v>
      </c>
      <c r="BB68" s="34">
        <v>9813.5057469999992</v>
      </c>
      <c r="BC68" s="34">
        <v>9683.5816195125208</v>
      </c>
      <c r="BD68" s="34">
        <v>9663.4241099999999</v>
      </c>
      <c r="BE68" s="34">
        <v>7384.7007039999999</v>
      </c>
      <c r="BF68" s="34">
        <v>6984.4197119999999</v>
      </c>
      <c r="BG68" s="34">
        <v>7230.4349119999997</v>
      </c>
      <c r="BH68" s="34">
        <v>7959.007267</v>
      </c>
      <c r="BI68" s="34">
        <v>7766.9965540000003</v>
      </c>
      <c r="BJ68" s="34">
        <v>6881.7151919999997</v>
      </c>
    </row>
    <row r="69" spans="1:62">
      <c r="A69" s="1" t="s">
        <v>1160</v>
      </c>
      <c r="B69" s="34">
        <v>1397.594803</v>
      </c>
      <c r="C69" s="34">
        <v>1472.385714</v>
      </c>
      <c r="D69" s="34">
        <v>1525.7758530000001</v>
      </c>
      <c r="E69" s="34">
        <v>1613.4568839999999</v>
      </c>
      <c r="F69" s="34">
        <v>1748.2881179999999</v>
      </c>
      <c r="G69" s="34">
        <v>1873.5677740000001</v>
      </c>
      <c r="H69" s="34">
        <v>1986.747159</v>
      </c>
      <c r="I69" s="34">
        <v>2058.7818820000002</v>
      </c>
      <c r="J69" s="34">
        <v>1951.7585959999999</v>
      </c>
      <c r="K69" s="34">
        <v>2100.6678689999999</v>
      </c>
      <c r="L69" s="34">
        <v>2347.5443180000002</v>
      </c>
      <c r="M69" s="34">
        <v>2649.8015140000002</v>
      </c>
      <c r="N69" s="34">
        <v>3030.4325140000001</v>
      </c>
      <c r="O69" s="34">
        <v>3426.2762210000001</v>
      </c>
      <c r="P69" s="34">
        <v>3665.8627980000001</v>
      </c>
      <c r="Q69" s="34">
        <v>4299.7456179999999</v>
      </c>
      <c r="R69" s="34">
        <v>4138.1677879999997</v>
      </c>
      <c r="S69" s="34">
        <v>4681.4399320000002</v>
      </c>
      <c r="T69" s="34">
        <v>5976.938169</v>
      </c>
      <c r="U69" s="34">
        <v>7804.7620809999999</v>
      </c>
      <c r="V69" s="34">
        <v>10032.06208</v>
      </c>
      <c r="W69" s="34">
        <v>9599.3062219999993</v>
      </c>
      <c r="X69" s="34">
        <v>9146.0773570000001</v>
      </c>
      <c r="Y69" s="34">
        <v>8691.5188130000006</v>
      </c>
      <c r="Z69" s="34">
        <v>8179.1944409999996</v>
      </c>
      <c r="AA69" s="34">
        <v>8652.2165420000001</v>
      </c>
      <c r="AB69" s="34">
        <v>10611.112209999999</v>
      </c>
      <c r="AC69" s="34">
        <v>13118.58653</v>
      </c>
      <c r="AD69" s="34">
        <v>15987.168079999999</v>
      </c>
      <c r="AE69" s="34">
        <v>16239.2822</v>
      </c>
      <c r="AF69" s="34">
        <v>19095.467000000001</v>
      </c>
      <c r="AG69" s="34">
        <v>19900.726650000001</v>
      </c>
      <c r="AH69" s="34">
        <v>20487.17079</v>
      </c>
      <c r="AI69" s="34">
        <v>18389.01957</v>
      </c>
      <c r="AJ69" s="34">
        <v>19709.238099999999</v>
      </c>
      <c r="AK69" s="34">
        <v>23206.56856</v>
      </c>
      <c r="AL69" s="34">
        <v>24438.531169999998</v>
      </c>
      <c r="AM69" s="34">
        <v>26742.984850000001</v>
      </c>
      <c r="AN69" s="34">
        <v>28269.322510000002</v>
      </c>
      <c r="AO69" s="34">
        <v>28726.857209999998</v>
      </c>
      <c r="AP69" s="34">
        <v>28223.067569999999</v>
      </c>
      <c r="AQ69" s="34">
        <v>27806.448820000001</v>
      </c>
      <c r="AR69" s="34">
        <v>30049.89632</v>
      </c>
      <c r="AS69" s="34">
        <v>34487.467570000001</v>
      </c>
      <c r="AT69" s="34">
        <v>40371.710830000004</v>
      </c>
      <c r="AU69" s="34">
        <v>42132.09072</v>
      </c>
      <c r="AV69" s="34">
        <v>44654.096920000004</v>
      </c>
      <c r="AW69" s="34">
        <v>50653.256909999996</v>
      </c>
      <c r="AX69" s="34">
        <v>47549.34863</v>
      </c>
      <c r="AY69" s="34">
        <v>38952.211029999999</v>
      </c>
      <c r="AZ69" s="34">
        <v>39688.614970000002</v>
      </c>
      <c r="BA69" s="34">
        <v>42284.884489999997</v>
      </c>
      <c r="BB69" s="34">
        <v>42686.800049999998</v>
      </c>
      <c r="BC69" s="34">
        <v>43713.814124230797</v>
      </c>
      <c r="BD69" s="34">
        <v>47787.241300000002</v>
      </c>
      <c r="BE69" s="34">
        <v>45404.567770000001</v>
      </c>
      <c r="BF69" s="34">
        <v>41499.555699999997</v>
      </c>
      <c r="BG69" s="34">
        <v>40857.755579999997</v>
      </c>
      <c r="BH69" s="34">
        <v>43646.951970000002</v>
      </c>
      <c r="BI69" s="34">
        <v>43070.498359999998</v>
      </c>
      <c r="BJ69" s="34">
        <v>41124.534769999998</v>
      </c>
    </row>
    <row r="70" spans="1:62">
      <c r="A70" s="1" t="s">
        <v>494</v>
      </c>
      <c r="B70" s="34">
        <v>0</v>
      </c>
      <c r="C70" s="34">
        <v>0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1614.648226</v>
      </c>
      <c r="AG70" s="34">
        <v>0</v>
      </c>
      <c r="AH70" s="34">
        <v>0</v>
      </c>
      <c r="AI70" s="34">
        <v>547.33489310000004</v>
      </c>
      <c r="AJ70" s="34">
        <v>519.85758120000003</v>
      </c>
      <c r="AK70" s="34">
        <v>578.34460990000002</v>
      </c>
      <c r="AL70" s="34">
        <v>689.05944139999997</v>
      </c>
      <c r="AM70" s="34">
        <v>807.03228579999995</v>
      </c>
      <c r="AN70" s="34">
        <v>851.52595819999999</v>
      </c>
      <c r="AO70" s="34">
        <v>673.54343870000002</v>
      </c>
      <c r="AP70" s="34">
        <v>749.90853500000003</v>
      </c>
      <c r="AQ70" s="34">
        <v>801.99041390000002</v>
      </c>
      <c r="AR70" s="34">
        <v>853.51645370000006</v>
      </c>
      <c r="AS70" s="34">
        <v>1010.00798</v>
      </c>
      <c r="AT70" s="34">
        <v>1305.0474859999999</v>
      </c>
      <c r="AU70" s="34">
        <v>1642.7609379999999</v>
      </c>
      <c r="AV70" s="34">
        <v>1996.057129</v>
      </c>
      <c r="AW70" s="34">
        <v>2635.3538819999999</v>
      </c>
      <c r="AX70" s="34">
        <v>3324.7358789999998</v>
      </c>
      <c r="AY70" s="34">
        <v>2822.66743</v>
      </c>
      <c r="AZ70" s="34">
        <v>3233.2959430000001</v>
      </c>
      <c r="BA70" s="34">
        <v>4021.7433059999998</v>
      </c>
      <c r="BB70" s="34">
        <v>4421.8182420000003</v>
      </c>
      <c r="BC70" s="34">
        <v>4623.7457247341899</v>
      </c>
      <c r="BD70" s="34">
        <v>4739.1883379999999</v>
      </c>
      <c r="BE70" s="34">
        <v>4014.1859439999998</v>
      </c>
      <c r="BF70" s="34">
        <v>4062.1698879999999</v>
      </c>
      <c r="BG70" s="34">
        <v>4357.0009360000004</v>
      </c>
      <c r="BH70" s="34">
        <v>4722.7877829999998</v>
      </c>
      <c r="BI70" s="34">
        <v>4697.9836519999999</v>
      </c>
      <c r="BJ70" s="34">
        <v>4266.6907950000004</v>
      </c>
    </row>
    <row r="71" spans="1:62">
      <c r="A71" s="1" t="s">
        <v>1039</v>
      </c>
      <c r="B71" s="34">
        <v>183.44958980000001</v>
      </c>
      <c r="C71" s="34">
        <v>190.21888300000001</v>
      </c>
      <c r="D71" s="34">
        <v>195.4923977</v>
      </c>
      <c r="E71" s="34">
        <v>211.06456779999999</v>
      </c>
      <c r="F71" s="34">
        <v>230.08877949999999</v>
      </c>
      <c r="G71" s="34">
        <v>265.32368880000001</v>
      </c>
      <c r="H71" s="34">
        <v>267.74822499999999</v>
      </c>
      <c r="I71" s="34">
        <v>214.83214820000001</v>
      </c>
      <c r="J71" s="34">
        <v>200.30709400000001</v>
      </c>
      <c r="K71" s="34">
        <v>230.287227</v>
      </c>
      <c r="L71" s="34">
        <v>253.5666219</v>
      </c>
      <c r="M71" s="34">
        <v>269.36823520000002</v>
      </c>
      <c r="N71" s="34">
        <v>228.85973279999999</v>
      </c>
      <c r="O71" s="34">
        <v>259.70184369999998</v>
      </c>
      <c r="P71" s="34">
        <v>296.89002390000002</v>
      </c>
      <c r="Q71" s="34">
        <v>281.40612650000003</v>
      </c>
      <c r="R71" s="34">
        <v>271.12557829999997</v>
      </c>
      <c r="S71" s="34">
        <v>306.80996499999998</v>
      </c>
      <c r="T71" s="34">
        <v>345.83442289999999</v>
      </c>
      <c r="U71" s="34">
        <v>372.06012079999999</v>
      </c>
      <c r="V71" s="34">
        <v>402.06070779999999</v>
      </c>
      <c r="W71" s="34">
        <v>372.07744350000002</v>
      </c>
      <c r="X71" s="34">
        <v>345.64133320000002</v>
      </c>
      <c r="Y71" s="34">
        <v>337.16334819999997</v>
      </c>
      <c r="Z71" s="34">
        <v>355.66670370000003</v>
      </c>
      <c r="AA71" s="34">
        <v>352.35271440000002</v>
      </c>
      <c r="AB71" s="34">
        <v>435.06818770000001</v>
      </c>
      <c r="AC71" s="34">
        <v>374.47034150000002</v>
      </c>
      <c r="AD71" s="34">
        <v>372.68397959999999</v>
      </c>
      <c r="AE71" s="34">
        <v>365.88968269999998</v>
      </c>
      <c r="AF71" s="34">
        <v>398.63708109999999</v>
      </c>
      <c r="AG71" s="34">
        <v>433.77326479999999</v>
      </c>
      <c r="AH71" s="34">
        <v>409.74638979999997</v>
      </c>
      <c r="AI71" s="34">
        <v>370.41945490000001</v>
      </c>
      <c r="AJ71" s="34">
        <v>328.74452689999998</v>
      </c>
      <c r="AK71" s="34">
        <v>379.98798490000001</v>
      </c>
      <c r="AL71" s="34">
        <v>397.13575500000002</v>
      </c>
      <c r="AM71" s="34">
        <v>384.79632830000003</v>
      </c>
      <c r="AN71" s="34">
        <v>407.52323699999999</v>
      </c>
      <c r="AO71" s="34">
        <v>410.3340116</v>
      </c>
      <c r="AP71" s="34">
        <v>258.47103989999999</v>
      </c>
      <c r="AQ71" s="34">
        <v>269.01498479999998</v>
      </c>
      <c r="AR71" s="34">
        <v>304.56463600000001</v>
      </c>
      <c r="AS71" s="34">
        <v>367.82136209999999</v>
      </c>
      <c r="AT71" s="34">
        <v>417.50806669999997</v>
      </c>
      <c r="AU71" s="34">
        <v>492.5440562</v>
      </c>
      <c r="AV71" s="34">
        <v>913.39384930000006</v>
      </c>
      <c r="AW71" s="34">
        <v>1081.166318</v>
      </c>
      <c r="AX71" s="34">
        <v>1217.064435</v>
      </c>
      <c r="AY71" s="34">
        <v>1077.6620579999999</v>
      </c>
      <c r="AZ71" s="34">
        <v>1299.3452119999999</v>
      </c>
      <c r="BA71" s="34">
        <v>1549.4627190000001</v>
      </c>
      <c r="BB71" s="34">
        <v>1587.5609320000001</v>
      </c>
      <c r="BC71" s="34">
        <v>2361.0903238836599</v>
      </c>
      <c r="BD71" s="34">
        <v>2012.2642470000001</v>
      </c>
      <c r="BE71" s="34">
        <v>1774.0747710000001</v>
      </c>
      <c r="BF71" s="34">
        <v>1971.9569349999999</v>
      </c>
      <c r="BG71" s="34">
        <v>2074.2907329999998</v>
      </c>
      <c r="BH71" s="34">
        <v>2260.8605670000002</v>
      </c>
      <c r="BI71" s="34">
        <v>2246.6255780000001</v>
      </c>
      <c r="BJ71" s="34">
        <v>2205.529016</v>
      </c>
    </row>
    <row r="72" spans="1:62">
      <c r="A72" s="1" t="s">
        <v>1176</v>
      </c>
      <c r="B72" s="34">
        <v>0</v>
      </c>
      <c r="C72" s="34">
        <v>0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0</v>
      </c>
      <c r="BB72" s="34">
        <v>0</v>
      </c>
      <c r="BC72" s="34"/>
      <c r="BD72" s="34">
        <v>0</v>
      </c>
      <c r="BE72" s="34">
        <v>0</v>
      </c>
      <c r="BF72" s="34">
        <v>0</v>
      </c>
      <c r="BG72" s="34">
        <v>0</v>
      </c>
      <c r="BH72" s="34">
        <v>0</v>
      </c>
      <c r="BI72" s="34">
        <v>0</v>
      </c>
      <c r="BJ72" s="34">
        <v>0</v>
      </c>
    </row>
    <row r="73" spans="1:62">
      <c r="A73" s="1" t="s">
        <v>1043</v>
      </c>
      <c r="B73" s="34">
        <v>0</v>
      </c>
      <c r="C73" s="34">
        <v>0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354.42136499999998</v>
      </c>
      <c r="AC73" s="34">
        <v>351.90904549999999</v>
      </c>
      <c r="AD73" s="34">
        <v>398.54615280000002</v>
      </c>
      <c r="AE73" s="34">
        <v>394.33114239999998</v>
      </c>
      <c r="AF73" s="34">
        <v>419.8098708</v>
      </c>
      <c r="AG73" s="34">
        <v>461.37531250000001</v>
      </c>
      <c r="AH73" s="34">
        <v>489.0716041</v>
      </c>
      <c r="AI73" s="34">
        <v>475.42631699999998</v>
      </c>
      <c r="AJ73" s="34">
        <v>477.76245920000002</v>
      </c>
      <c r="AK73" s="34">
        <v>508.10151610000003</v>
      </c>
      <c r="AL73" s="34">
        <v>518.36566259999995</v>
      </c>
      <c r="AM73" s="34">
        <v>493.82216140000003</v>
      </c>
      <c r="AN73" s="34">
        <v>456.49148409999998</v>
      </c>
      <c r="AO73" s="34">
        <v>429.71969230000002</v>
      </c>
      <c r="AP73" s="34">
        <v>363.48227930000002</v>
      </c>
      <c r="AQ73" s="34">
        <v>336.15402069999999</v>
      </c>
      <c r="AR73" s="34">
        <v>343.60263120000002</v>
      </c>
      <c r="AS73" s="34">
        <v>393.73968989999997</v>
      </c>
      <c r="AT73" s="34">
        <v>407.30097590000003</v>
      </c>
      <c r="AU73" s="34">
        <v>322.41554000000002</v>
      </c>
      <c r="AV73" s="34">
        <v>453.40371329999999</v>
      </c>
      <c r="AW73" s="34">
        <v>659.992931</v>
      </c>
      <c r="AX73" s="34">
        <v>715.09652670000003</v>
      </c>
      <c r="AY73" s="34">
        <v>674.08548259999998</v>
      </c>
      <c r="AZ73" s="34">
        <v>672.42493039999999</v>
      </c>
      <c r="BA73" s="34">
        <v>651.1361134</v>
      </c>
      <c r="BB73" s="34">
        <v>717.0505359</v>
      </c>
      <c r="BC73" s="34">
        <v>769.00316669783297</v>
      </c>
      <c r="BD73" s="34">
        <v>787.23856439999997</v>
      </c>
      <c r="BE73" s="34">
        <v>769.25547540000002</v>
      </c>
      <c r="BF73" s="34">
        <v>732.29151190000005</v>
      </c>
      <c r="BG73" s="34">
        <v>855.57527059999995</v>
      </c>
      <c r="BH73" s="34">
        <v>955.11128110000004</v>
      </c>
      <c r="BI73" s="34">
        <v>1058.143368</v>
      </c>
      <c r="BJ73" s="34">
        <v>1194.037865</v>
      </c>
    </row>
    <row r="74" spans="1:62">
      <c r="A74" s="1" t="s">
        <v>346</v>
      </c>
      <c r="B74" s="34">
        <v>0</v>
      </c>
      <c r="C74" s="34">
        <v>0</v>
      </c>
      <c r="D74" s="34">
        <v>0</v>
      </c>
      <c r="E74" s="34">
        <v>0</v>
      </c>
      <c r="F74" s="34">
        <v>0</v>
      </c>
      <c r="G74" s="34">
        <v>0</v>
      </c>
      <c r="H74" s="34">
        <v>106.4132245</v>
      </c>
      <c r="I74" s="34">
        <v>109.4537158</v>
      </c>
      <c r="J74" s="34">
        <v>93.847690490000005</v>
      </c>
      <c r="K74" s="34">
        <v>100.1017727</v>
      </c>
      <c r="L74" s="34">
        <v>112.610651</v>
      </c>
      <c r="M74" s="34">
        <v>116.5611998</v>
      </c>
      <c r="N74" s="34">
        <v>120.1435044</v>
      </c>
      <c r="O74" s="34">
        <v>148.17465709999999</v>
      </c>
      <c r="P74" s="34">
        <v>183.0817649</v>
      </c>
      <c r="Q74" s="34">
        <v>213.3068921</v>
      </c>
      <c r="R74" s="34">
        <v>201.12487849999999</v>
      </c>
      <c r="S74" s="34">
        <v>239.43311</v>
      </c>
      <c r="T74" s="34">
        <v>288.05577729999999</v>
      </c>
      <c r="U74" s="34">
        <v>335.80489089999998</v>
      </c>
      <c r="V74" s="34">
        <v>378.31298900000002</v>
      </c>
      <c r="W74" s="34">
        <v>332.68060630000002</v>
      </c>
      <c r="X74" s="34">
        <v>318.60786209999998</v>
      </c>
      <c r="Y74" s="34">
        <v>304.8374354</v>
      </c>
      <c r="Z74" s="34">
        <v>244.3733422</v>
      </c>
      <c r="AA74" s="34">
        <v>298.66041230000002</v>
      </c>
      <c r="AB74" s="34">
        <v>234.6562868</v>
      </c>
      <c r="AC74" s="34">
        <v>265.49165319999997</v>
      </c>
      <c r="AD74" s="34">
        <v>305.31361770000001</v>
      </c>
      <c r="AE74" s="34">
        <v>310.29933729999999</v>
      </c>
      <c r="AF74" s="34">
        <v>331.81774030000003</v>
      </c>
      <c r="AG74" s="34">
        <v>695.41098850000003</v>
      </c>
      <c r="AH74" s="34">
        <v>695.1553715</v>
      </c>
      <c r="AI74" s="34">
        <v>711.726181</v>
      </c>
      <c r="AJ74" s="34">
        <v>682.21415690000003</v>
      </c>
      <c r="AK74" s="34">
        <v>696.44958429999997</v>
      </c>
      <c r="AL74" s="34">
        <v>728.66907189999995</v>
      </c>
      <c r="AM74" s="34">
        <v>669.40109600000005</v>
      </c>
      <c r="AN74" s="34">
        <v>678.67617829999995</v>
      </c>
      <c r="AO74" s="34">
        <v>637.93906289999995</v>
      </c>
      <c r="AP74" s="34">
        <v>594.14938849999999</v>
      </c>
      <c r="AQ74" s="34">
        <v>505.4216361</v>
      </c>
      <c r="AR74" s="34">
        <v>411.77189390000001</v>
      </c>
      <c r="AS74" s="34">
        <v>335.90621700000003</v>
      </c>
      <c r="AT74" s="34">
        <v>642.7562183</v>
      </c>
      <c r="AU74" s="34">
        <v>665.72021570000004</v>
      </c>
      <c r="AV74" s="34">
        <v>662.36287719999996</v>
      </c>
      <c r="AW74" s="34">
        <v>780.38105089999999</v>
      </c>
      <c r="AX74" s="34">
        <v>924.50987459999999</v>
      </c>
      <c r="AY74" s="34">
        <v>833.28136040000004</v>
      </c>
      <c r="AZ74" s="34">
        <v>860.63643390000004</v>
      </c>
      <c r="BA74" s="34">
        <v>762.76311769999995</v>
      </c>
      <c r="BB74" s="34">
        <v>742.77762859999996</v>
      </c>
      <c r="BC74" s="34">
        <v>700.51604215283305</v>
      </c>
      <c r="BD74" s="34">
        <v>607.42990469999995</v>
      </c>
      <c r="BE74" s="34">
        <v>660.72357120000004</v>
      </c>
      <c r="BF74" s="34">
        <v>690.78049320000002</v>
      </c>
      <c r="BG74" s="34">
        <v>679.75507170000003</v>
      </c>
      <c r="BH74" s="34">
        <v>732.72072730000002</v>
      </c>
      <c r="BI74" s="34">
        <v>772.04591419999997</v>
      </c>
      <c r="BJ74" s="34">
        <v>773.00207009999997</v>
      </c>
    </row>
    <row r="75" spans="1:62">
      <c r="A75" s="1" t="s">
        <v>1044</v>
      </c>
      <c r="B75" s="34">
        <v>0</v>
      </c>
      <c r="C75" s="34">
        <v>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111.6888386</v>
      </c>
      <c r="M75" s="34">
        <v>109.33259990000001</v>
      </c>
      <c r="N75" s="34">
        <v>119.7282088</v>
      </c>
      <c r="O75" s="34">
        <v>119.7760284</v>
      </c>
      <c r="P75" s="34">
        <v>130.36756070000001</v>
      </c>
      <c r="Q75" s="34">
        <v>142.28182029999999</v>
      </c>
      <c r="R75" s="34">
        <v>145.8778567</v>
      </c>
      <c r="S75" s="34">
        <v>148.97815199999999</v>
      </c>
      <c r="T75" s="34">
        <v>158.8667021</v>
      </c>
      <c r="U75" s="34">
        <v>153.006192</v>
      </c>
      <c r="V75" s="34">
        <v>141.5593514</v>
      </c>
      <c r="W75" s="34">
        <v>194.9246536</v>
      </c>
      <c r="X75" s="34">
        <v>204.24879809999999</v>
      </c>
      <c r="Y75" s="34">
        <v>197.0310455</v>
      </c>
      <c r="Z75" s="34">
        <v>162.6721541</v>
      </c>
      <c r="AA75" s="34">
        <v>164.94193530000001</v>
      </c>
      <c r="AB75" s="34">
        <v>145.90548079999999</v>
      </c>
      <c r="AC75" s="34">
        <v>190.45237990000001</v>
      </c>
      <c r="AD75" s="34">
        <v>176.25939159999999</v>
      </c>
      <c r="AE75" s="34">
        <v>223.4714185</v>
      </c>
      <c r="AF75" s="34">
        <v>250.14944199999999</v>
      </c>
      <c r="AG75" s="34">
        <v>257.78917560000002</v>
      </c>
      <c r="AH75" s="34">
        <v>221.7991653</v>
      </c>
      <c r="AI75" s="34">
        <v>227.02324530000001</v>
      </c>
      <c r="AJ75" s="34">
        <v>220.96042420000001</v>
      </c>
      <c r="AK75" s="34">
        <v>233.24325870000001</v>
      </c>
      <c r="AL75" s="34">
        <v>243.43829590000001</v>
      </c>
      <c r="AM75" s="34">
        <v>237.13007730000001</v>
      </c>
      <c r="AN75" s="34">
        <v>178.84836469999999</v>
      </c>
      <c r="AO75" s="34">
        <v>190.67230620000001</v>
      </c>
      <c r="AP75" s="34">
        <v>308.91031839999999</v>
      </c>
      <c r="AQ75" s="34">
        <v>319.95744939999997</v>
      </c>
      <c r="AR75" s="34">
        <v>333.05857930000002</v>
      </c>
      <c r="AS75" s="34">
        <v>372.05619489999998</v>
      </c>
      <c r="AT75" s="34">
        <v>405.07511840000001</v>
      </c>
      <c r="AU75" s="34">
        <v>436.47522020000002</v>
      </c>
      <c r="AV75" s="34">
        <v>430.00394030000001</v>
      </c>
      <c r="AW75" s="34">
        <v>493.72199319999999</v>
      </c>
      <c r="AX75" s="34">
        <v>599.99523720000002</v>
      </c>
      <c r="AY75" s="34">
        <v>559.41457089999994</v>
      </c>
      <c r="AZ75" s="34">
        <v>558.17466809999996</v>
      </c>
      <c r="BA75" s="34">
        <v>703.66056730000003</v>
      </c>
      <c r="BB75" s="34">
        <v>616.37566400000003</v>
      </c>
      <c r="BC75" s="34">
        <v>634.66203913896902</v>
      </c>
      <c r="BD75" s="34">
        <v>623.31309139999996</v>
      </c>
      <c r="BE75" s="34">
        <v>603.3993815</v>
      </c>
      <c r="BF75" s="34">
        <v>661.45783870000002</v>
      </c>
      <c r="BG75" s="34">
        <v>738.54994490000001</v>
      </c>
      <c r="BH75" s="34">
        <v>802.76738509999996</v>
      </c>
      <c r="BI75" s="34">
        <v>749.45374700000002</v>
      </c>
      <c r="BJ75" s="34">
        <v>727.52017169999999</v>
      </c>
    </row>
    <row r="76" spans="1:62">
      <c r="A76" s="1" t="s">
        <v>1058</v>
      </c>
      <c r="B76" s="34">
        <v>0</v>
      </c>
      <c r="C76" s="34">
        <v>0</v>
      </c>
      <c r="D76" s="34">
        <v>34.790581359999997</v>
      </c>
      <c r="E76" s="34">
        <v>40.75147132</v>
      </c>
      <c r="F76" s="34">
        <v>46.9760524</v>
      </c>
      <c r="G76" s="34">
        <v>234.3440851</v>
      </c>
      <c r="H76" s="34">
        <v>243.76909130000001</v>
      </c>
      <c r="I76" s="34">
        <v>247.8441287</v>
      </c>
      <c r="J76" s="34">
        <v>225.4865662</v>
      </c>
      <c r="K76" s="34">
        <v>221.13721799999999</v>
      </c>
      <c r="L76" s="34">
        <v>218.20553770000001</v>
      </c>
      <c r="M76" s="34">
        <v>217.32146599999999</v>
      </c>
      <c r="N76" s="34">
        <v>226.00134790000001</v>
      </c>
      <c r="O76" s="34">
        <v>292.45983130000002</v>
      </c>
      <c r="P76" s="34">
        <v>354.30145279999999</v>
      </c>
      <c r="Q76" s="34">
        <v>407.71064000000001</v>
      </c>
      <c r="R76" s="34">
        <v>418.00809750000002</v>
      </c>
      <c r="S76" s="34">
        <v>429.41658439999998</v>
      </c>
      <c r="T76" s="34">
        <v>0</v>
      </c>
      <c r="U76" s="34">
        <v>0</v>
      </c>
      <c r="V76" s="34">
        <v>202.6274483</v>
      </c>
      <c r="W76" s="34">
        <v>138.93945170000001</v>
      </c>
      <c r="X76" s="34">
        <v>155.6174781</v>
      </c>
      <c r="Y76" s="34">
        <v>144.1963121</v>
      </c>
      <c r="Z76" s="34">
        <v>151.772907</v>
      </c>
      <c r="AA76" s="34">
        <v>176.4150588</v>
      </c>
      <c r="AB76" s="34">
        <v>207.052649</v>
      </c>
      <c r="AC76" s="34">
        <v>243.73747700000001</v>
      </c>
      <c r="AD76" s="34">
        <v>254.53553360000001</v>
      </c>
      <c r="AE76" s="34">
        <v>217.07238839999999</v>
      </c>
      <c r="AF76" s="34">
        <v>267.46807289999998</v>
      </c>
      <c r="AG76" s="34">
        <v>256.22633580000002</v>
      </c>
      <c r="AH76" s="34">
        <v>301.17710899999997</v>
      </c>
      <c r="AI76" s="34">
        <v>294.0705049</v>
      </c>
      <c r="AJ76" s="34">
        <v>210.40954339999999</v>
      </c>
      <c r="AK76" s="34">
        <v>285.55254819999999</v>
      </c>
      <c r="AL76" s="34">
        <v>450.64600230000002</v>
      </c>
      <c r="AM76" s="34">
        <v>824.55108310000003</v>
      </c>
      <c r="AN76" s="34">
        <v>663.72475129999998</v>
      </c>
      <c r="AO76" s="34">
        <v>1067.643955</v>
      </c>
      <c r="AP76" s="34">
        <v>1725.5575839999999</v>
      </c>
      <c r="AQ76" s="34">
        <v>2313.1659370000002</v>
      </c>
      <c r="AR76" s="34">
        <v>2744.1914830000001</v>
      </c>
      <c r="AS76" s="34">
        <v>3618.544476</v>
      </c>
      <c r="AT76" s="34">
        <v>6152.1312379999999</v>
      </c>
      <c r="AU76" s="34">
        <v>10963.40638</v>
      </c>
      <c r="AV76" s="34">
        <v>12857.36882</v>
      </c>
      <c r="AW76" s="34">
        <v>15908.411190000001</v>
      </c>
      <c r="AX76" s="34">
        <v>22942.610100000002</v>
      </c>
      <c r="AY76" s="34">
        <v>16668.1217</v>
      </c>
      <c r="AZ76" s="34">
        <v>17288.8426</v>
      </c>
      <c r="BA76" s="34">
        <v>21641.693899999998</v>
      </c>
      <c r="BB76" s="34">
        <v>21711.151590000001</v>
      </c>
      <c r="BC76" s="34">
        <v>20390.737273789</v>
      </c>
      <c r="BD76" s="34">
        <v>19394.08066</v>
      </c>
      <c r="BE76" s="34">
        <v>11283.39805</v>
      </c>
      <c r="BF76" s="34">
        <v>9250.3164930000003</v>
      </c>
      <c r="BG76" s="34">
        <v>9667.8578010000001</v>
      </c>
      <c r="BH76" s="34">
        <v>10005.61679</v>
      </c>
      <c r="BI76" s="34">
        <v>8419.9333360000001</v>
      </c>
      <c r="BJ76" s="34">
        <v>7143.2387049999998</v>
      </c>
    </row>
    <row r="77" spans="1:62">
      <c r="A77" s="1" t="s">
        <v>1073</v>
      </c>
      <c r="B77" s="34">
        <v>520.32274429999995</v>
      </c>
      <c r="C77" s="34">
        <v>590.78005480000002</v>
      </c>
      <c r="D77" s="34">
        <v>617.05775770000002</v>
      </c>
      <c r="E77" s="34">
        <v>695.22862439999994</v>
      </c>
      <c r="F77" s="34">
        <v>783.70588099999998</v>
      </c>
      <c r="G77" s="34">
        <v>899.28123889999995</v>
      </c>
      <c r="H77" s="34">
        <v>997.43046749999996</v>
      </c>
      <c r="I77" s="34">
        <v>1068.114556</v>
      </c>
      <c r="J77" s="34">
        <v>1154.438531</v>
      </c>
      <c r="K77" s="34">
        <v>1324.0589890000001</v>
      </c>
      <c r="L77" s="34">
        <v>1494.387984</v>
      </c>
      <c r="M77" s="34">
        <v>1652.3259559999999</v>
      </c>
      <c r="N77" s="34">
        <v>1899.675784</v>
      </c>
      <c r="O77" s="34">
        <v>2502.8147450000001</v>
      </c>
      <c r="P77" s="34">
        <v>2828.7485590000001</v>
      </c>
      <c r="Q77" s="34">
        <v>3153.235776</v>
      </c>
      <c r="R77" s="34">
        <v>3390.5449760000001</v>
      </c>
      <c r="S77" s="34">
        <v>3886.3744510000001</v>
      </c>
      <c r="T77" s="34">
        <v>4694.6337819999999</v>
      </c>
      <c r="U77" s="34">
        <v>5705.9493709999997</v>
      </c>
      <c r="V77" s="34">
        <v>5893.6618930000004</v>
      </c>
      <c r="W77" s="34">
        <v>5380.2676199999996</v>
      </c>
      <c r="X77" s="34">
        <v>5579.2346150000003</v>
      </c>
      <c r="Y77" s="34">
        <v>5019.8787709999997</v>
      </c>
      <c r="Z77" s="34">
        <v>4852.5656669999998</v>
      </c>
      <c r="AA77" s="34">
        <v>4813.7112049999996</v>
      </c>
      <c r="AB77" s="34">
        <v>5656.5053319999997</v>
      </c>
      <c r="AC77" s="34">
        <v>6564.884427</v>
      </c>
      <c r="AD77" s="34">
        <v>7598.0280050000001</v>
      </c>
      <c r="AE77" s="34">
        <v>7846.6781220000003</v>
      </c>
      <c r="AF77" s="34">
        <v>9600.1852350000008</v>
      </c>
      <c r="AG77" s="34">
        <v>10188.369780000001</v>
      </c>
      <c r="AH77" s="34">
        <v>11176.458420000001</v>
      </c>
      <c r="AI77" s="34">
        <v>10401.98301</v>
      </c>
      <c r="AJ77" s="34">
        <v>11091.28385</v>
      </c>
      <c r="AK77" s="34">
        <v>12959.32429</v>
      </c>
      <c r="AL77" s="34">
        <v>13749.115110000001</v>
      </c>
      <c r="AM77" s="34">
        <v>13427.83251</v>
      </c>
      <c r="AN77" s="34">
        <v>13472.13761</v>
      </c>
      <c r="AO77" s="34">
        <v>13245.18944</v>
      </c>
      <c r="AP77" s="34">
        <v>12042.95371</v>
      </c>
      <c r="AQ77" s="34">
        <v>12538.17887</v>
      </c>
      <c r="AR77" s="34">
        <v>14110.31337</v>
      </c>
      <c r="AS77" s="34">
        <v>18477.57836</v>
      </c>
      <c r="AT77" s="34">
        <v>21955.104139999999</v>
      </c>
      <c r="AU77" s="34">
        <v>22551.735769999999</v>
      </c>
      <c r="AV77" s="34">
        <v>24801.157780000001</v>
      </c>
      <c r="AW77" s="34">
        <v>28827.326389999998</v>
      </c>
      <c r="AX77" s="34">
        <v>31997.282019999999</v>
      </c>
      <c r="AY77" s="34">
        <v>29710.970229999999</v>
      </c>
      <c r="AZ77" s="34">
        <v>26690.60742</v>
      </c>
      <c r="BA77" s="34">
        <v>25450.53412</v>
      </c>
      <c r="BB77" s="34">
        <v>21914.25173</v>
      </c>
      <c r="BC77" s="34">
        <v>21781.595347261198</v>
      </c>
      <c r="BD77" s="34">
        <v>21587.957549999999</v>
      </c>
      <c r="BE77" s="34">
        <v>18076.606759999999</v>
      </c>
      <c r="BF77" s="34">
        <v>17911.79938</v>
      </c>
      <c r="BG77" s="34">
        <v>18536.190719999999</v>
      </c>
      <c r="BH77" s="34">
        <v>19747.34258</v>
      </c>
      <c r="BI77" s="34">
        <v>19133.75776</v>
      </c>
      <c r="BJ77" s="34">
        <v>17622.541000000001</v>
      </c>
    </row>
    <row r="78" spans="1:62">
      <c r="A78" s="1" t="s">
        <v>1075</v>
      </c>
      <c r="B78" s="34">
        <v>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792.45497269999998</v>
      </c>
      <c r="T78" s="34">
        <v>991.22807390000003</v>
      </c>
      <c r="U78" s="34">
        <v>1153.9604999999999</v>
      </c>
      <c r="V78" s="34">
        <v>1245.6246860000001</v>
      </c>
      <c r="W78" s="34">
        <v>1276.3703660000001</v>
      </c>
      <c r="X78" s="34">
        <v>1346.858115</v>
      </c>
      <c r="Y78" s="34">
        <v>1372.6676970000001</v>
      </c>
      <c r="Z78" s="34">
        <v>1477.915659</v>
      </c>
      <c r="AA78" s="34">
        <v>1678.0732459999999</v>
      </c>
      <c r="AB78" s="34">
        <v>1872.4686079999999</v>
      </c>
      <c r="AC78" s="34">
        <v>2162.5302449999999</v>
      </c>
      <c r="AD78" s="34">
        <v>2408.7145479999999</v>
      </c>
      <c r="AE78" s="34">
        <v>2757.8884400000002</v>
      </c>
      <c r="AF78" s="34">
        <v>2886.998204</v>
      </c>
      <c r="AG78" s="34">
        <v>3117.889831</v>
      </c>
      <c r="AH78" s="34">
        <v>3192.2319080000002</v>
      </c>
      <c r="AI78" s="34">
        <v>3153.8182830000001</v>
      </c>
      <c r="AJ78" s="34">
        <v>3272.5533730000002</v>
      </c>
      <c r="AK78" s="34">
        <v>3411.9669600000002</v>
      </c>
      <c r="AL78" s="34">
        <v>3632.6786769999999</v>
      </c>
      <c r="AM78" s="34">
        <v>3861.3978219999999</v>
      </c>
      <c r="AN78" s="34">
        <v>4370.6183170000004</v>
      </c>
      <c r="AO78" s="34">
        <v>4705.7900630000004</v>
      </c>
      <c r="AP78" s="34">
        <v>5056.9772590000002</v>
      </c>
      <c r="AQ78" s="34">
        <v>5041.0122350000001</v>
      </c>
      <c r="AR78" s="34">
        <v>5213.7956489999997</v>
      </c>
      <c r="AS78" s="34">
        <v>5682.7053779999997</v>
      </c>
      <c r="AT78" s="34">
        <v>5741.6536580000002</v>
      </c>
      <c r="AU78" s="34">
        <v>6645.985549</v>
      </c>
      <c r="AV78" s="34">
        <v>6658.2235860000001</v>
      </c>
      <c r="AW78" s="34">
        <v>7212.9868189999997</v>
      </c>
      <c r="AX78" s="34">
        <v>7832.3490810000003</v>
      </c>
      <c r="AY78" s="34">
        <v>7290.834938</v>
      </c>
      <c r="AZ78" s="34">
        <v>7258.166561</v>
      </c>
      <c r="BA78" s="34">
        <v>7291.7416700000003</v>
      </c>
      <c r="BB78" s="34">
        <v>7444.0890749999999</v>
      </c>
      <c r="BC78" s="34">
        <v>7789.63235505594</v>
      </c>
      <c r="BD78" s="34">
        <v>8370.0404720000006</v>
      </c>
      <c r="BE78" s="34">
        <v>9096.5386519999993</v>
      </c>
      <c r="BF78" s="34">
        <v>9628.2591690000008</v>
      </c>
      <c r="BG78" s="34">
        <v>10152.83281</v>
      </c>
      <c r="BH78" s="34">
        <v>10466.88221</v>
      </c>
      <c r="BI78" s="34">
        <v>10827.435289999999</v>
      </c>
      <c r="BJ78" s="34">
        <v>9261.5518759999995</v>
      </c>
    </row>
    <row r="79" spans="1:62">
      <c r="A79" s="1" t="s">
        <v>1177</v>
      </c>
      <c r="B79" s="34">
        <v>0</v>
      </c>
      <c r="C79" s="34">
        <v>0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1498.276437</v>
      </c>
      <c r="M79" s="34">
        <v>1876.5032389999999</v>
      </c>
      <c r="N79" s="34">
        <v>2196.7117109999999</v>
      </c>
      <c r="O79" s="34">
        <v>2860.2805760000001</v>
      </c>
      <c r="P79" s="34">
        <v>3432.7060329999999</v>
      </c>
      <c r="Q79" s="34">
        <v>4257.9497119999996</v>
      </c>
      <c r="R79" s="34">
        <v>4844.6763289999999</v>
      </c>
      <c r="S79" s="34">
        <v>5713.9549189999998</v>
      </c>
      <c r="T79" s="34">
        <v>7235.5497409999998</v>
      </c>
      <c r="U79" s="34">
        <v>8480.6948269999993</v>
      </c>
      <c r="V79" s="34">
        <v>9483.1730759999991</v>
      </c>
      <c r="W79" s="34">
        <v>8544.0583289999995</v>
      </c>
      <c r="X79" s="34">
        <v>7813.6906669999998</v>
      </c>
      <c r="Y79" s="34">
        <v>7988.170959</v>
      </c>
      <c r="Z79" s="34">
        <v>7198.7022470000002</v>
      </c>
      <c r="AA79" s="34">
        <v>7760.8284039999999</v>
      </c>
      <c r="AB79" s="34">
        <v>11271.32143</v>
      </c>
      <c r="AC79" s="34">
        <v>14554.38754</v>
      </c>
      <c r="AD79" s="34">
        <v>16398.01109</v>
      </c>
      <c r="AE79" s="34">
        <v>16813.683949999999</v>
      </c>
      <c r="AF79" s="34">
        <v>18326.805120000001</v>
      </c>
      <c r="AG79" s="34">
        <v>18315.1963</v>
      </c>
      <c r="AH79" s="34">
        <v>18768.93014</v>
      </c>
      <c r="AI79" s="34">
        <v>16797.458859999999</v>
      </c>
      <c r="AJ79" s="34">
        <v>18123.963029999999</v>
      </c>
      <c r="AK79" s="34">
        <v>21665.7019</v>
      </c>
      <c r="AL79" s="34">
        <v>21422.357540000001</v>
      </c>
      <c r="AM79" s="34">
        <v>19145.496040000002</v>
      </c>
      <c r="AN79" s="34">
        <v>20496.661370000002</v>
      </c>
      <c r="AO79" s="34">
        <v>20170.438419999999</v>
      </c>
      <c r="AP79" s="34">
        <v>19004.10729</v>
      </c>
      <c r="AQ79" s="34">
        <v>19275.47334</v>
      </c>
      <c r="AR79" s="34">
        <v>20652.87833</v>
      </c>
      <c r="AS79" s="34">
        <v>27459.762780000001</v>
      </c>
      <c r="AT79" s="34">
        <v>32023.452209999999</v>
      </c>
      <c r="AU79" s="34">
        <v>32489.781910000002</v>
      </c>
      <c r="AV79" s="34">
        <v>35458.123119999997</v>
      </c>
      <c r="AW79" s="34">
        <v>39780.951439999997</v>
      </c>
      <c r="AX79" s="34">
        <v>44367.055650000002</v>
      </c>
      <c r="AY79" s="34">
        <v>44918.564879999998</v>
      </c>
      <c r="AZ79" s="34">
        <v>43988.332490000001</v>
      </c>
      <c r="BA79" s="34">
        <v>47186.981469999999</v>
      </c>
      <c r="BB79" s="34">
        <v>45936.765950000001</v>
      </c>
      <c r="BC79" s="34">
        <v>47535.589945368498</v>
      </c>
      <c r="BD79" s="34">
        <v>50484.92757</v>
      </c>
      <c r="BE79" s="34">
        <v>44536.401310000001</v>
      </c>
      <c r="BF79" s="34">
        <v>48181.874190000002</v>
      </c>
      <c r="BG79" s="34">
        <v>50765.695650000001</v>
      </c>
      <c r="BH79" s="34">
        <v>54270.822310000003</v>
      </c>
      <c r="BI79" s="34">
        <v>53041.303310000003</v>
      </c>
      <c r="BJ79" s="34">
        <v>0</v>
      </c>
    </row>
    <row r="80" spans="1:62">
      <c r="A80" s="1" t="s">
        <v>1041</v>
      </c>
      <c r="B80" s="34">
        <v>252.75617120000001</v>
      </c>
      <c r="C80" s="34">
        <v>253.22729000000001</v>
      </c>
      <c r="D80" s="34">
        <v>261.17913379999999</v>
      </c>
      <c r="E80" s="34">
        <v>280.09663640000002</v>
      </c>
      <c r="F80" s="34">
        <v>279.93046450000003</v>
      </c>
      <c r="G80" s="34">
        <v>278.82813850000002</v>
      </c>
      <c r="H80" s="34">
        <v>283.19272460000002</v>
      </c>
      <c r="I80" s="34">
        <v>287.96804709999998</v>
      </c>
      <c r="J80" s="34">
        <v>310.66174519999998</v>
      </c>
      <c r="K80" s="34">
        <v>322.43752940000002</v>
      </c>
      <c r="L80" s="34">
        <v>349.0249756</v>
      </c>
      <c r="M80" s="34">
        <v>355.09037110000003</v>
      </c>
      <c r="N80" s="34">
        <v>367.11888110000001</v>
      </c>
      <c r="O80" s="34">
        <v>438.54485119999998</v>
      </c>
      <c r="P80" s="34">
        <v>527.41769680000004</v>
      </c>
      <c r="Q80" s="34">
        <v>594.65180359999999</v>
      </c>
      <c r="R80" s="34">
        <v>696.22201529999995</v>
      </c>
      <c r="S80" s="34">
        <v>854.63664340000003</v>
      </c>
      <c r="T80" s="34">
        <v>925.1257445</v>
      </c>
      <c r="U80" s="34">
        <v>1027.0836959999999</v>
      </c>
      <c r="V80" s="34">
        <v>1143.4404019999999</v>
      </c>
      <c r="W80" s="34">
        <v>1217.2640200000001</v>
      </c>
      <c r="X80" s="34">
        <v>1200.2492339999999</v>
      </c>
      <c r="Y80" s="34">
        <v>1212.716559</v>
      </c>
      <c r="Z80" s="34">
        <v>1234.7026410000001</v>
      </c>
      <c r="AA80" s="34">
        <v>1233.080944</v>
      </c>
      <c r="AB80" s="34">
        <v>892.29290649999996</v>
      </c>
      <c r="AC80" s="34">
        <v>850.2185121</v>
      </c>
      <c r="AD80" s="34">
        <v>915.39806529999998</v>
      </c>
      <c r="AE80" s="34">
        <v>955.11346089999995</v>
      </c>
      <c r="AF80" s="34">
        <v>845.30696209999996</v>
      </c>
      <c r="AG80" s="34">
        <v>1011.754966</v>
      </c>
      <c r="AH80" s="34">
        <v>1093.962908</v>
      </c>
      <c r="AI80" s="34">
        <v>1164.3740250000001</v>
      </c>
      <c r="AJ80" s="34">
        <v>1293.470198</v>
      </c>
      <c r="AK80" s="34">
        <v>1424.6825429999999</v>
      </c>
      <c r="AL80" s="34">
        <v>1487.6076579999999</v>
      </c>
      <c r="AM80" s="34">
        <v>1649.001602</v>
      </c>
      <c r="AN80" s="34">
        <v>1755.8495820000001</v>
      </c>
      <c r="AO80" s="34">
        <v>1619.510736</v>
      </c>
      <c r="AP80" s="34">
        <v>1664.2989580000001</v>
      </c>
      <c r="AQ80" s="34">
        <v>1550.3603660000001</v>
      </c>
      <c r="AR80" s="34">
        <v>1682.9945009999999</v>
      </c>
      <c r="AS80" s="34">
        <v>1737.879287</v>
      </c>
      <c r="AT80" s="34">
        <v>1859.0983630000001</v>
      </c>
      <c r="AU80" s="34">
        <v>2068.500129</v>
      </c>
      <c r="AV80" s="34">
        <v>2251.0879629999999</v>
      </c>
      <c r="AW80" s="34">
        <v>2490.749127</v>
      </c>
      <c r="AX80" s="34">
        <v>2802.4619619999999</v>
      </c>
      <c r="AY80" s="34">
        <v>2651.8171229999998</v>
      </c>
      <c r="AZ80" s="34">
        <v>2852.5473270000002</v>
      </c>
      <c r="BA80" s="34">
        <v>3228.0457409999999</v>
      </c>
      <c r="BB80" s="34">
        <v>3355.0369190000001</v>
      </c>
      <c r="BC80" s="34">
        <v>3522.7737062147498</v>
      </c>
      <c r="BD80" s="34">
        <v>3779.6423359999999</v>
      </c>
      <c r="BE80" s="34">
        <v>3994.6369129999998</v>
      </c>
      <c r="BF80" s="34">
        <v>4173.3016660000003</v>
      </c>
      <c r="BG80" s="34">
        <v>4454.0481499999996</v>
      </c>
      <c r="BH80" s="34">
        <v>4478.4246460000004</v>
      </c>
      <c r="BI80" s="34">
        <v>4638.634943</v>
      </c>
      <c r="BJ80" s="34">
        <v>4603.3396169999996</v>
      </c>
    </row>
    <row r="81" spans="1:62">
      <c r="A81" s="1" t="s">
        <v>1178</v>
      </c>
      <c r="B81" s="34">
        <v>0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21594.039690000001</v>
      </c>
      <c r="AS81" s="34">
        <v>22628.278689999999</v>
      </c>
      <c r="AT81" s="34">
        <v>24472.782019999999</v>
      </c>
      <c r="AU81" s="34">
        <v>26596.214790000002</v>
      </c>
      <c r="AV81" s="34">
        <v>26713.058389999998</v>
      </c>
      <c r="AW81" s="34">
        <v>27680.54996</v>
      </c>
      <c r="AX81" s="34">
        <v>29288.781859999999</v>
      </c>
      <c r="AY81" s="34">
        <v>30320.53859</v>
      </c>
      <c r="AZ81" s="34">
        <v>31040.084299999999</v>
      </c>
      <c r="BA81" s="34">
        <v>31210.470290000001</v>
      </c>
      <c r="BB81" s="34">
        <v>32908.306770000003</v>
      </c>
      <c r="BC81" s="34">
        <v>33656.4535735436</v>
      </c>
      <c r="BD81" s="34">
        <v>34843.205569999998</v>
      </c>
      <c r="BE81" s="34">
        <v>35829.250359999998</v>
      </c>
      <c r="BF81" s="34">
        <v>36214.00692</v>
      </c>
      <c r="BG81" s="34">
        <v>36601.919880000001</v>
      </c>
      <c r="BH81" s="34">
        <v>36556.674910000002</v>
      </c>
      <c r="BI81" s="34">
        <v>38040.586990000003</v>
      </c>
      <c r="BJ81" s="34">
        <v>34624.340129999997</v>
      </c>
    </row>
    <row r="82" spans="1:62">
      <c r="A82" s="1" t="s">
        <v>1045</v>
      </c>
      <c r="B82" s="34">
        <v>297.6764225</v>
      </c>
      <c r="C82" s="34">
        <v>315.38545950000002</v>
      </c>
      <c r="D82" s="34">
        <v>321.5452368</v>
      </c>
      <c r="E82" s="34">
        <v>282.30407129999998</v>
      </c>
      <c r="F82" s="34">
        <v>305.36639869999999</v>
      </c>
      <c r="G82" s="34">
        <v>327.11572810000001</v>
      </c>
      <c r="H82" s="34">
        <v>344.16807720000003</v>
      </c>
      <c r="I82" s="34">
        <v>370.15964910000002</v>
      </c>
      <c r="J82" s="34">
        <v>334.84224890000002</v>
      </c>
      <c r="K82" s="34">
        <v>358.3219666</v>
      </c>
      <c r="L82" s="34">
        <v>379.89587619999998</v>
      </c>
      <c r="M82" s="34">
        <v>395.20291889999999</v>
      </c>
      <c r="N82" s="34">
        <v>395.2923993</v>
      </c>
      <c r="O82" s="34">
        <v>420.66561589999998</v>
      </c>
      <c r="P82" s="34">
        <v>588.13701700000001</v>
      </c>
      <c r="Q82" s="34">
        <v>663.39566520000005</v>
      </c>
      <c r="R82" s="34">
        <v>602.62484730000006</v>
      </c>
      <c r="S82" s="34">
        <v>590.06537049999997</v>
      </c>
      <c r="T82" s="34">
        <v>658.43600019999997</v>
      </c>
      <c r="U82" s="34">
        <v>683.3303919</v>
      </c>
      <c r="V82" s="34">
        <v>773.18167080000001</v>
      </c>
      <c r="W82" s="34">
        <v>729.60509219999994</v>
      </c>
      <c r="X82" s="34">
        <v>616.96078969999996</v>
      </c>
      <c r="Y82" s="34">
        <v>628.19365649999997</v>
      </c>
      <c r="Z82" s="34">
        <v>564.52787450000005</v>
      </c>
      <c r="AA82" s="34">
        <v>588.61035340000001</v>
      </c>
      <c r="AB82" s="34">
        <v>660.15189999999996</v>
      </c>
      <c r="AC82" s="34">
        <v>468.13833099999999</v>
      </c>
      <c r="AD82" s="34">
        <v>551.26217459999998</v>
      </c>
      <c r="AE82" s="34">
        <v>509.37374970000002</v>
      </c>
      <c r="AF82" s="34">
        <v>533.53835879999997</v>
      </c>
      <c r="AG82" s="34">
        <v>468.1583109</v>
      </c>
      <c r="AH82" s="34">
        <v>499.03170929999999</v>
      </c>
      <c r="AI82" s="34">
        <v>602.14387290000002</v>
      </c>
      <c r="AJ82" s="34">
        <v>712.71285420000004</v>
      </c>
      <c r="AK82" s="34">
        <v>816.53542489999995</v>
      </c>
      <c r="AL82" s="34">
        <v>927.18858339999997</v>
      </c>
      <c r="AM82" s="34">
        <v>988.34131679999996</v>
      </c>
      <c r="AN82" s="34">
        <v>951.91247710000005</v>
      </c>
      <c r="AO82" s="34">
        <v>926.7403362</v>
      </c>
      <c r="AP82" s="34">
        <v>954.40031810000005</v>
      </c>
      <c r="AQ82" s="34">
        <v>955.66538060000005</v>
      </c>
      <c r="AR82" s="34">
        <v>974.94919330000005</v>
      </c>
      <c r="AS82" s="34">
        <v>997.21137290000001</v>
      </c>
      <c r="AT82" s="34">
        <v>1056.423886</v>
      </c>
      <c r="AU82" s="34">
        <v>1105.5068249999999</v>
      </c>
      <c r="AV82" s="34">
        <v>3188.6731599999998</v>
      </c>
      <c r="AW82" s="34">
        <v>3658.4799670000002</v>
      </c>
      <c r="AX82" s="34">
        <v>4050.7862369999998</v>
      </c>
      <c r="AY82" s="34">
        <v>4233.7661429999998</v>
      </c>
      <c r="AZ82" s="34">
        <v>4580.698762</v>
      </c>
      <c r="BA82" s="34">
        <v>4908.5664479999996</v>
      </c>
      <c r="BB82" s="34">
        <v>5378.8108780000002</v>
      </c>
      <c r="BC82" s="34">
        <v>5489.1407255138402</v>
      </c>
      <c r="BD82" s="34">
        <v>5407.1473660000001</v>
      </c>
      <c r="BE82" s="34">
        <v>5576.8258519999999</v>
      </c>
      <c r="BF82" s="34">
        <v>5811.3979239999999</v>
      </c>
      <c r="BG82" s="34">
        <v>6124.9536699999999</v>
      </c>
      <c r="BH82" s="34">
        <v>6145.8192769999996</v>
      </c>
      <c r="BI82" s="34">
        <v>6609.5112799999997</v>
      </c>
      <c r="BJ82" s="34">
        <v>6955.9392170000001</v>
      </c>
    </row>
    <row r="83" spans="1:62">
      <c r="A83" s="1" t="s">
        <v>1179</v>
      </c>
      <c r="B83" s="34">
        <v>1402.801029</v>
      </c>
      <c r="C83" s="34">
        <v>1466.1325420000001</v>
      </c>
      <c r="D83" s="34">
        <v>1562.4083290000001</v>
      </c>
      <c r="E83" s="34">
        <v>1661.973332</v>
      </c>
      <c r="F83" s="34">
        <v>1791.845307</v>
      </c>
      <c r="G83" s="34">
        <v>1923.1459890000001</v>
      </c>
      <c r="H83" s="34">
        <v>2086.918189</v>
      </c>
      <c r="I83" s="34">
        <v>2216.6036519999998</v>
      </c>
      <c r="J83" s="34">
        <v>2380.1275169999999</v>
      </c>
      <c r="K83" s="34">
        <v>2592.6252049999998</v>
      </c>
      <c r="L83" s="34">
        <v>2804.8390720000002</v>
      </c>
      <c r="M83" s="34">
        <v>3077.6684970000001</v>
      </c>
      <c r="N83" s="34">
        <v>3534.1985709999999</v>
      </c>
      <c r="O83" s="34">
        <v>4234.9995650000001</v>
      </c>
      <c r="P83" s="34">
        <v>4730.0183880000004</v>
      </c>
      <c r="Q83" s="34">
        <v>5230.1623419999996</v>
      </c>
      <c r="R83" s="34">
        <v>5651.8605269999998</v>
      </c>
      <c r="S83" s="34">
        <v>6348.4807010000004</v>
      </c>
      <c r="T83" s="34">
        <v>7545.2082019999998</v>
      </c>
      <c r="U83" s="34">
        <v>8649.9398020000008</v>
      </c>
      <c r="V83" s="34">
        <v>9581.8445909999991</v>
      </c>
      <c r="W83" s="34">
        <v>9647.9317530000008</v>
      </c>
      <c r="X83" s="34">
        <v>9484.7481220000009</v>
      </c>
      <c r="Y83" s="34">
        <v>9723.4648199999992</v>
      </c>
      <c r="Z83" s="34">
        <v>10074.854230000001</v>
      </c>
      <c r="AA83" s="34">
        <v>10507.943439999999</v>
      </c>
      <c r="AB83" s="34">
        <v>12673.20023</v>
      </c>
      <c r="AC83" s="34">
        <v>14588.97955</v>
      </c>
      <c r="AD83" s="34">
        <v>16316.18383</v>
      </c>
      <c r="AE83" s="34">
        <v>16948.663339999999</v>
      </c>
      <c r="AF83" s="34">
        <v>18902.337</v>
      </c>
      <c r="AG83" s="34">
        <v>19833.198710000001</v>
      </c>
      <c r="AH83" s="34">
        <v>21205.527689999999</v>
      </c>
      <c r="AI83" s="34">
        <v>21200.182560000001</v>
      </c>
      <c r="AJ83" s="34">
        <v>22653.95595</v>
      </c>
      <c r="AK83" s="34">
        <v>24946.591759999999</v>
      </c>
      <c r="AL83" s="34">
        <v>24990.563819999999</v>
      </c>
      <c r="AM83" s="34">
        <v>24401.118999999999</v>
      </c>
      <c r="AN83" s="34">
        <v>24331.373459999999</v>
      </c>
      <c r="AO83" s="34">
        <v>25402.391199999998</v>
      </c>
      <c r="AP83" s="34">
        <v>25762.621149999999</v>
      </c>
      <c r="AQ83" s="34">
        <v>25346.31264</v>
      </c>
      <c r="AR83" s="34">
        <v>26232.13954</v>
      </c>
      <c r="AS83" s="34">
        <v>29219.49396</v>
      </c>
      <c r="AT83" s="34">
        <v>32302.797269999999</v>
      </c>
      <c r="AU83" s="34">
        <v>33925.207179999998</v>
      </c>
      <c r="AV83" s="34">
        <v>35552.589240000001</v>
      </c>
      <c r="AW83" s="34">
        <v>38564.242030000001</v>
      </c>
      <c r="AX83" s="34">
        <v>40653.002860000001</v>
      </c>
      <c r="AY83" s="34">
        <v>37841.974999999999</v>
      </c>
      <c r="AZ83" s="34">
        <v>39404.981319999999</v>
      </c>
      <c r="BA83" s="34">
        <v>42340.512329999998</v>
      </c>
      <c r="BB83" s="34">
        <v>42134.265379999997</v>
      </c>
      <c r="BC83" s="34">
        <v>42390.9704265701</v>
      </c>
      <c r="BD83" s="34">
        <v>43055.905250000003</v>
      </c>
      <c r="BE83" s="34">
        <v>40465.652370000003</v>
      </c>
      <c r="BF83" s="34">
        <v>41104.394079999998</v>
      </c>
      <c r="BG83" s="34">
        <v>42746.003579999997</v>
      </c>
      <c r="BH83" s="34">
        <v>45227.959419999999</v>
      </c>
      <c r="BI83" s="34">
        <v>45453.047890000002</v>
      </c>
      <c r="BJ83" s="34">
        <v>43950.085249999996</v>
      </c>
    </row>
    <row r="84" spans="1:62">
      <c r="A84" s="1" t="s">
        <v>1083</v>
      </c>
      <c r="B84" s="34">
        <v>429.44287439999999</v>
      </c>
      <c r="C84" s="34">
        <v>436.7544115</v>
      </c>
      <c r="D84" s="34">
        <v>487.82113409999999</v>
      </c>
      <c r="E84" s="34">
        <v>565.72781039999995</v>
      </c>
      <c r="F84" s="34">
        <v>629.5915258</v>
      </c>
      <c r="G84" s="34">
        <v>676.8055071</v>
      </c>
      <c r="H84" s="34">
        <v>685.92661410000005</v>
      </c>
      <c r="I84" s="34">
        <v>723.23922560000005</v>
      </c>
      <c r="J84" s="34">
        <v>714.48296960000005</v>
      </c>
      <c r="K84" s="34">
        <v>825.52344909999999</v>
      </c>
      <c r="L84" s="34">
        <v>960.03196149999997</v>
      </c>
      <c r="M84" s="34">
        <v>1106.4697169999999</v>
      </c>
      <c r="N84" s="34">
        <v>1384.738437</v>
      </c>
      <c r="O84" s="34">
        <v>1893.1812420000001</v>
      </c>
      <c r="P84" s="34">
        <v>2144.6077129999999</v>
      </c>
      <c r="Q84" s="34">
        <v>2252.1118809999998</v>
      </c>
      <c r="R84" s="34">
        <v>2850.0146100000002</v>
      </c>
      <c r="S84" s="34">
        <v>3429.4202759999998</v>
      </c>
      <c r="T84" s="34">
        <v>3923.9437309999998</v>
      </c>
      <c r="U84" s="34">
        <v>4569.4537069999997</v>
      </c>
      <c r="V84" s="34">
        <v>5700.4126340000003</v>
      </c>
      <c r="W84" s="34">
        <v>5991.3202609999998</v>
      </c>
      <c r="X84" s="34">
        <v>6133.784079</v>
      </c>
      <c r="Y84" s="34">
        <v>5595.2351390000003</v>
      </c>
      <c r="Z84" s="34">
        <v>6208.2261589999998</v>
      </c>
      <c r="AA84" s="34">
        <v>6542.9315370000004</v>
      </c>
      <c r="AB84" s="34">
        <v>7435.0306979999996</v>
      </c>
      <c r="AC84" s="34">
        <v>9071.3326020000004</v>
      </c>
      <c r="AD84" s="34">
        <v>10609.745639999999</v>
      </c>
      <c r="AE84" s="34">
        <v>12097.775159999999</v>
      </c>
      <c r="AF84" s="34">
        <v>13485.544889999999</v>
      </c>
      <c r="AG84" s="34">
        <v>15465.85886</v>
      </c>
      <c r="AH84" s="34">
        <v>17976.429380000001</v>
      </c>
      <c r="AI84" s="34">
        <v>20395.517370000001</v>
      </c>
      <c r="AJ84" s="34">
        <v>22502.579740000001</v>
      </c>
      <c r="AK84" s="34">
        <v>23497.492310000001</v>
      </c>
      <c r="AL84" s="34">
        <v>24818.154549999999</v>
      </c>
      <c r="AM84" s="34">
        <v>27330.033350000002</v>
      </c>
      <c r="AN84" s="34">
        <v>25808.970949999999</v>
      </c>
      <c r="AO84" s="34">
        <v>25091.6666</v>
      </c>
      <c r="AP84" s="34">
        <v>25756.663779999999</v>
      </c>
      <c r="AQ84" s="34">
        <v>25230.216329999999</v>
      </c>
      <c r="AR84" s="34">
        <v>24665.89</v>
      </c>
      <c r="AS84" s="34">
        <v>23977.01945</v>
      </c>
      <c r="AT84" s="34">
        <v>24928.10037</v>
      </c>
      <c r="AU84" s="34">
        <v>26649.750800000002</v>
      </c>
      <c r="AV84" s="34">
        <v>28224.215059999999</v>
      </c>
      <c r="AW84" s="34">
        <v>30594.01784</v>
      </c>
      <c r="AX84" s="34">
        <v>31515.662769999999</v>
      </c>
      <c r="AY84" s="34">
        <v>30697.340380000001</v>
      </c>
      <c r="AZ84" s="34">
        <v>32549.998230000001</v>
      </c>
      <c r="BA84" s="34">
        <v>35142.487930000003</v>
      </c>
      <c r="BB84" s="34">
        <v>36730.876700000001</v>
      </c>
      <c r="BC84" s="34">
        <v>38403.777714547701</v>
      </c>
      <c r="BD84" s="34">
        <v>40315.285559999997</v>
      </c>
      <c r="BE84" s="34">
        <v>42431.888279999999</v>
      </c>
      <c r="BF84" s="34">
        <v>43731.106820000001</v>
      </c>
      <c r="BG84" s="34">
        <v>46165.856509999998</v>
      </c>
      <c r="BH84" s="34">
        <v>48542.68187</v>
      </c>
      <c r="BI84" s="34">
        <v>48354.47337</v>
      </c>
      <c r="BJ84" s="34">
        <v>46323.863440000001</v>
      </c>
    </row>
    <row r="85" spans="1:62">
      <c r="A85" s="1" t="s">
        <v>567</v>
      </c>
      <c r="B85" s="34">
        <v>164.64439949999999</v>
      </c>
      <c r="C85" s="34">
        <v>169.90975510000001</v>
      </c>
      <c r="D85" s="34">
        <v>179.87630630000001</v>
      </c>
      <c r="E85" s="34">
        <v>185.04884709999999</v>
      </c>
      <c r="F85" s="34">
        <v>200.43472850000001</v>
      </c>
      <c r="G85" s="34">
        <v>216.81539470000001</v>
      </c>
      <c r="H85" s="34">
        <v>227.74095629999999</v>
      </c>
      <c r="I85" s="34">
        <v>240.5468429</v>
      </c>
      <c r="J85" s="34">
        <v>252.5849145</v>
      </c>
      <c r="K85" s="34">
        <v>253.26872069999999</v>
      </c>
      <c r="L85" s="34">
        <v>266.13640609999999</v>
      </c>
      <c r="M85" s="34">
        <v>261.24637030000002</v>
      </c>
      <c r="N85" s="34">
        <v>278.61607600000002</v>
      </c>
      <c r="O85" s="34">
        <v>307.34480009999999</v>
      </c>
      <c r="P85" s="34">
        <v>338.15532919999998</v>
      </c>
      <c r="Q85" s="34">
        <v>356.45739700000001</v>
      </c>
      <c r="R85" s="34">
        <v>414.62314049999998</v>
      </c>
      <c r="S85" s="34">
        <v>497.9382908</v>
      </c>
      <c r="T85" s="34">
        <v>895.64798640000004</v>
      </c>
      <c r="U85" s="34">
        <v>993.72549739999999</v>
      </c>
      <c r="V85" s="34">
        <v>1078.810346</v>
      </c>
      <c r="W85" s="34">
        <v>1066.1687420000001</v>
      </c>
      <c r="X85" s="34">
        <v>1090.998237</v>
      </c>
      <c r="Y85" s="34">
        <v>1110.4756629999999</v>
      </c>
      <c r="Z85" s="34">
        <v>1183.02593</v>
      </c>
      <c r="AA85" s="34">
        <v>1232.8696150000001</v>
      </c>
      <c r="AB85" s="34">
        <v>1287.4107389999999</v>
      </c>
      <c r="AC85" s="34">
        <v>1362.885102</v>
      </c>
      <c r="AD85" s="34">
        <v>1262.067151</v>
      </c>
      <c r="AE85" s="34">
        <v>1128.284091</v>
      </c>
      <c r="AF85" s="34">
        <v>993.48325320000004</v>
      </c>
      <c r="AG85" s="34">
        <v>911.75498159999995</v>
      </c>
      <c r="AH85" s="34">
        <v>942.61294469999996</v>
      </c>
      <c r="AI85" s="34">
        <v>913.30163130000005</v>
      </c>
      <c r="AJ85" s="34">
        <v>836.60238179999999</v>
      </c>
      <c r="AK85" s="34">
        <v>936.66765429999998</v>
      </c>
      <c r="AL85" s="34">
        <v>887.69261229999995</v>
      </c>
      <c r="AM85" s="34">
        <v>948.95477019999998</v>
      </c>
      <c r="AN85" s="34">
        <v>1023.460734</v>
      </c>
      <c r="AO85" s="34">
        <v>1002.716922</v>
      </c>
      <c r="AP85" s="34">
        <v>1080.5104719999999</v>
      </c>
      <c r="AQ85" s="34">
        <v>1120.5499600000001</v>
      </c>
      <c r="AR85" s="34">
        <v>1122.0886</v>
      </c>
      <c r="AS85" s="34">
        <v>1145.497946</v>
      </c>
      <c r="AT85" s="34">
        <v>1204.479826</v>
      </c>
      <c r="AU85" s="34">
        <v>1296.694784</v>
      </c>
      <c r="AV85" s="34">
        <v>1420.1343959999999</v>
      </c>
      <c r="AW85" s="34">
        <v>1572.0648880000001</v>
      </c>
      <c r="AX85" s="34">
        <v>1727.793682</v>
      </c>
      <c r="AY85" s="34">
        <v>1777.272802</v>
      </c>
      <c r="AZ85" s="34">
        <v>1891.1585889999999</v>
      </c>
      <c r="BA85" s="34">
        <v>2073.9043700000002</v>
      </c>
      <c r="BB85" s="34">
        <v>2129.5214390000001</v>
      </c>
      <c r="BC85" s="34">
        <v>2088.0972059333199</v>
      </c>
      <c r="BD85" s="34">
        <v>2190.653139</v>
      </c>
      <c r="BE85" s="34">
        <v>2286.2030370000002</v>
      </c>
      <c r="BF85" s="34">
        <v>2326.297278</v>
      </c>
      <c r="BG85" s="34">
        <v>2436.671636</v>
      </c>
      <c r="BH85" s="34">
        <v>2492.8689680000002</v>
      </c>
      <c r="BI85" s="34">
        <v>2556.4568909999998</v>
      </c>
      <c r="BJ85" s="34">
        <v>2389.0124310000001</v>
      </c>
    </row>
    <row r="86" spans="1:62">
      <c r="A86" s="1" t="s">
        <v>1046</v>
      </c>
      <c r="B86" s="34">
        <v>0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4917.0853710000001</v>
      </c>
      <c r="AL86" s="34">
        <v>5283.005005</v>
      </c>
      <c r="AM86" s="34">
        <v>5312.3695019999996</v>
      </c>
      <c r="AN86" s="34">
        <v>5691.10952</v>
      </c>
      <c r="AO86" s="34">
        <v>5246.9359679999998</v>
      </c>
      <c r="AP86" s="34">
        <v>4887.7137160000002</v>
      </c>
      <c r="AQ86" s="34">
        <v>5412.9251359999998</v>
      </c>
      <c r="AR86" s="34">
        <v>6293.2252989999997</v>
      </c>
      <c r="AS86" s="34">
        <v>8129.7945840000002</v>
      </c>
      <c r="AT86" s="34">
        <v>9747.4407709999996</v>
      </c>
      <c r="AU86" s="34">
        <v>10621.507460000001</v>
      </c>
      <c r="AV86" s="34">
        <v>11797.474469999999</v>
      </c>
      <c r="AW86" s="34">
        <v>14046.31681</v>
      </c>
      <c r="AX86" s="34">
        <v>16416.586810000001</v>
      </c>
      <c r="AY86" s="34">
        <v>14653.04355</v>
      </c>
      <c r="AZ86" s="34">
        <v>14067.52312</v>
      </c>
      <c r="BA86" s="34">
        <v>14757.180340000001</v>
      </c>
      <c r="BB86" s="34">
        <v>13401.65662</v>
      </c>
      <c r="BC86" s="34">
        <v>13837.7316376587</v>
      </c>
      <c r="BD86" s="34">
        <v>13762.372859999999</v>
      </c>
      <c r="BE86" s="34">
        <v>11933.37738</v>
      </c>
      <c r="BF86" s="34">
        <v>12527.73986</v>
      </c>
      <c r="BG86" s="34">
        <v>13629.28959</v>
      </c>
      <c r="BH86" s="34">
        <v>15227.560100000001</v>
      </c>
      <c r="BI86" s="34">
        <v>15311.766900000001</v>
      </c>
      <c r="BJ86" s="34">
        <v>14134.162679999999</v>
      </c>
    </row>
    <row r="87" spans="1:62">
      <c r="A87" s="1" t="s">
        <v>1047</v>
      </c>
      <c r="B87" s="34">
        <v>70.661084560000006</v>
      </c>
      <c r="C87" s="34">
        <v>68.764339329999999</v>
      </c>
      <c r="D87" s="34">
        <v>70.138045880000007</v>
      </c>
      <c r="E87" s="34">
        <v>71.96218417</v>
      </c>
      <c r="F87" s="34">
        <v>77.862597249999993</v>
      </c>
      <c r="G87" s="34">
        <v>82.947608369999998</v>
      </c>
      <c r="H87" s="34">
        <v>84.985252200000005</v>
      </c>
      <c r="I87" s="34">
        <v>83.411903960000004</v>
      </c>
      <c r="J87" s="34">
        <v>81.59295367</v>
      </c>
      <c r="K87" s="34">
        <v>85.295796429999996</v>
      </c>
      <c r="L87" s="34">
        <v>70.826179249999996</v>
      </c>
      <c r="M87" s="34">
        <v>76.263748969999995</v>
      </c>
      <c r="N87" s="34">
        <v>76.901863710000001</v>
      </c>
      <c r="O87" s="34">
        <v>94.904571910000001</v>
      </c>
      <c r="P87" s="34">
        <v>112.996202</v>
      </c>
      <c r="Q87" s="34">
        <v>133.75024780000001</v>
      </c>
      <c r="R87" s="34">
        <v>169.3107588</v>
      </c>
      <c r="S87" s="34">
        <v>178.860637</v>
      </c>
      <c r="T87" s="34">
        <v>180.27320399999999</v>
      </c>
      <c r="U87" s="34">
        <v>195.75423799999999</v>
      </c>
      <c r="V87" s="34">
        <v>245.2165669</v>
      </c>
      <c r="W87" s="34">
        <v>256.24561890000001</v>
      </c>
      <c r="X87" s="34">
        <v>249.43221260000001</v>
      </c>
      <c r="Y87" s="34">
        <v>268.29192920000003</v>
      </c>
      <c r="Z87" s="34">
        <v>293.18677330000003</v>
      </c>
      <c r="AA87" s="34">
        <v>317.07634589999998</v>
      </c>
      <c r="AB87" s="34">
        <v>357.79682969999999</v>
      </c>
      <c r="AC87" s="34">
        <v>309.30349000000001</v>
      </c>
      <c r="AD87" s="34">
        <v>386.77729140000002</v>
      </c>
      <c r="AE87" s="34">
        <v>396.68613920000001</v>
      </c>
      <c r="AF87" s="34">
        <v>439.944188</v>
      </c>
      <c r="AG87" s="34">
        <v>483.87363540000001</v>
      </c>
      <c r="AH87" s="34">
        <v>308.37139739999998</v>
      </c>
      <c r="AI87" s="34">
        <v>251.7528877</v>
      </c>
      <c r="AJ87" s="34">
        <v>285.11885380000001</v>
      </c>
      <c r="AK87" s="34">
        <v>363.26554449999998</v>
      </c>
      <c r="AL87" s="34">
        <v>368.63186380000002</v>
      </c>
      <c r="AM87" s="34">
        <v>415.77074210000001</v>
      </c>
      <c r="AN87" s="34">
        <v>455.54189609999997</v>
      </c>
      <c r="AO87" s="34">
        <v>499.30296870000001</v>
      </c>
      <c r="AP87" s="34">
        <v>805.02563250000003</v>
      </c>
      <c r="AQ87" s="34">
        <v>735.52111790000004</v>
      </c>
      <c r="AR87" s="34">
        <v>692.03016290000005</v>
      </c>
      <c r="AS87" s="34">
        <v>542.33359610000002</v>
      </c>
      <c r="AT87" s="34">
        <v>667.2825464</v>
      </c>
      <c r="AU87" s="34">
        <v>781.27665779999995</v>
      </c>
      <c r="AV87" s="34">
        <v>804.52451189999999</v>
      </c>
      <c r="AW87" s="34">
        <v>1002.8884870000001</v>
      </c>
      <c r="AX87" s="34">
        <v>1086.9381920000001</v>
      </c>
      <c r="AY87" s="34">
        <v>1183.6048539999999</v>
      </c>
      <c r="AZ87" s="34">
        <v>1191.9726639999999</v>
      </c>
      <c r="BA87" s="34">
        <v>1287.9546499999999</v>
      </c>
      <c r="BB87" s="34">
        <v>1337.3359459999999</v>
      </c>
      <c r="BC87" s="34">
        <v>1432.8376176669201</v>
      </c>
      <c r="BD87" s="34">
        <v>1435.1364699999999</v>
      </c>
      <c r="BE87" s="34">
        <v>1386.8541909999999</v>
      </c>
      <c r="BF87" s="34">
        <v>1290.380508</v>
      </c>
      <c r="BG87" s="34">
        <v>1369.0637340000001</v>
      </c>
      <c r="BH87" s="34">
        <v>1479.3458270000001</v>
      </c>
      <c r="BI87" s="34">
        <v>1312.770636</v>
      </c>
      <c r="BJ87" s="34">
        <v>1272.367992</v>
      </c>
    </row>
    <row r="88" spans="1:62">
      <c r="A88" s="1" t="s">
        <v>1084</v>
      </c>
      <c r="B88" s="34">
        <v>0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3350.258323</v>
      </c>
      <c r="AH88" s="34">
        <v>3735.1058200000002</v>
      </c>
      <c r="AI88" s="34">
        <v>3873.9877230000002</v>
      </c>
      <c r="AJ88" s="34">
        <v>4173.3730240000004</v>
      </c>
      <c r="AK88" s="34">
        <v>4494.7076239999997</v>
      </c>
      <c r="AL88" s="34">
        <v>4525.0391030000001</v>
      </c>
      <c r="AM88" s="34">
        <v>4596.1826220000003</v>
      </c>
      <c r="AN88" s="34">
        <v>4744.2122639999998</v>
      </c>
      <c r="AO88" s="34">
        <v>4793.4785220000003</v>
      </c>
      <c r="AP88" s="34">
        <v>4624.2816570000005</v>
      </c>
      <c r="AQ88" s="34">
        <v>5276.0331889999998</v>
      </c>
      <c r="AR88" s="34">
        <v>6655.3330089999999</v>
      </c>
      <c r="AS88" s="34">
        <v>8421.1033129999996</v>
      </c>
      <c r="AT88" s="34">
        <v>10303.70419</v>
      </c>
      <c r="AU88" s="34">
        <v>11225.932580000001</v>
      </c>
      <c r="AV88" s="34">
        <v>11493.100409999999</v>
      </c>
      <c r="AW88" s="34">
        <v>13944.971009999999</v>
      </c>
      <c r="AX88" s="34">
        <v>15777.19202</v>
      </c>
      <c r="AY88" s="34">
        <v>13081.79264</v>
      </c>
      <c r="AZ88" s="34">
        <v>13223.083000000001</v>
      </c>
      <c r="BA88" s="34">
        <v>14240.2575</v>
      </c>
      <c r="BB88" s="34">
        <v>12989.18028</v>
      </c>
      <c r="BC88" s="34">
        <v>13719.9505393621</v>
      </c>
      <c r="BD88" s="34">
        <v>14298.83367</v>
      </c>
      <c r="BE88" s="34">
        <v>12720.712020000001</v>
      </c>
      <c r="BF88" s="34">
        <v>13107.377909999999</v>
      </c>
      <c r="BG88" s="34">
        <v>14623.69665</v>
      </c>
      <c r="BH88" s="34">
        <v>16427.372759999998</v>
      </c>
      <c r="BI88" s="34">
        <v>16735.659780000002</v>
      </c>
      <c r="BJ88" s="34">
        <v>15980.740889999999</v>
      </c>
    </row>
    <row r="89" spans="1:62">
      <c r="A89" s="1" t="s">
        <v>602</v>
      </c>
      <c r="B89" s="34">
        <v>0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53.53729568</v>
      </c>
      <c r="J89" s="34">
        <v>65.053043840000001</v>
      </c>
      <c r="K89" s="34">
        <v>74.60209639</v>
      </c>
      <c r="L89" s="34">
        <v>79.714535400000003</v>
      </c>
      <c r="M89" s="34">
        <v>79.178187989999998</v>
      </c>
      <c r="N89" s="34">
        <v>90.876171479999996</v>
      </c>
      <c r="O89" s="34">
        <v>131.0249053</v>
      </c>
      <c r="P89" s="34">
        <v>202.49540540000001</v>
      </c>
      <c r="Q89" s="34">
        <v>233.1166609</v>
      </c>
      <c r="R89" s="34">
        <v>278.19667020000003</v>
      </c>
      <c r="S89" s="34">
        <v>333.69437670000002</v>
      </c>
      <c r="T89" s="34">
        <v>365.915842</v>
      </c>
      <c r="U89" s="34">
        <v>356.92133919999998</v>
      </c>
      <c r="V89" s="34">
        <v>491.5795329</v>
      </c>
      <c r="W89" s="34">
        <v>566.57771849999995</v>
      </c>
      <c r="X89" s="34">
        <v>583.66983549999998</v>
      </c>
      <c r="Y89" s="34">
        <v>512.95911109999997</v>
      </c>
      <c r="Z89" s="34">
        <v>525.33394350000003</v>
      </c>
      <c r="AA89" s="34">
        <v>516.96099019999997</v>
      </c>
      <c r="AB89" s="34">
        <v>474.85916049999997</v>
      </c>
      <c r="AC89" s="34">
        <v>442.21548530000001</v>
      </c>
      <c r="AD89" s="34">
        <v>481.78148499999998</v>
      </c>
      <c r="AE89" s="34">
        <v>530.00325450000003</v>
      </c>
      <c r="AF89" s="34">
        <v>585.0765629</v>
      </c>
      <c r="AG89" s="34">
        <v>631.78285779999999</v>
      </c>
      <c r="AH89" s="34">
        <v>681.93838559999995</v>
      </c>
      <c r="AI89" s="34">
        <v>827.90526620000003</v>
      </c>
      <c r="AJ89" s="34">
        <v>912.20329389999995</v>
      </c>
      <c r="AK89" s="34">
        <v>1026.3934360000001</v>
      </c>
      <c r="AL89" s="34">
        <v>1137.4101009999999</v>
      </c>
      <c r="AM89" s="34">
        <v>1063.7123759999999</v>
      </c>
      <c r="AN89" s="34">
        <v>463.94815820000002</v>
      </c>
      <c r="AO89" s="34">
        <v>671.0986097</v>
      </c>
      <c r="AP89" s="34">
        <v>780.19020469999998</v>
      </c>
      <c r="AQ89" s="34">
        <v>748.25760869999999</v>
      </c>
      <c r="AR89" s="34">
        <v>900.17758809999998</v>
      </c>
      <c r="AS89" s="34">
        <v>1065.64852</v>
      </c>
      <c r="AT89" s="34">
        <v>1150.2613670000001</v>
      </c>
      <c r="AU89" s="34">
        <v>1263.2873320000001</v>
      </c>
      <c r="AV89" s="34">
        <v>1589.8014889999999</v>
      </c>
      <c r="AW89" s="34">
        <v>1860.0028110000001</v>
      </c>
      <c r="AX89" s="34">
        <v>2166.8542309999998</v>
      </c>
      <c r="AY89" s="34">
        <v>2261.2473089999999</v>
      </c>
      <c r="AZ89" s="34">
        <v>3122.3626730000001</v>
      </c>
      <c r="BA89" s="34">
        <v>3643.047176</v>
      </c>
      <c r="BB89" s="34">
        <v>3694.35934</v>
      </c>
      <c r="BC89" s="34">
        <v>3623.92724054274</v>
      </c>
      <c r="BD89" s="34">
        <v>3491.637491</v>
      </c>
      <c r="BE89" s="34">
        <v>3331.695115</v>
      </c>
      <c r="BF89" s="34">
        <v>3562.8163340000001</v>
      </c>
      <c r="BG89" s="34">
        <v>3837.5780239999999</v>
      </c>
      <c r="BH89" s="34">
        <v>3893.8595780000001</v>
      </c>
      <c r="BI89" s="34">
        <v>4135.2015309999997</v>
      </c>
      <c r="BJ89" s="34">
        <v>3869.5884270000001</v>
      </c>
    </row>
    <row r="90" spans="1:62">
      <c r="A90" s="1" t="s">
        <v>1180</v>
      </c>
      <c r="B90" s="34">
        <v>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12681.614149999999</v>
      </c>
      <c r="AL90" s="34">
        <v>14036.082850000001</v>
      </c>
      <c r="AM90" s="34">
        <v>15991.22782</v>
      </c>
      <c r="AN90" s="34">
        <v>18450.482940000002</v>
      </c>
      <c r="AO90" s="34">
        <v>20624.802800000001</v>
      </c>
      <c r="AP90" s="34">
        <v>20322.68202</v>
      </c>
      <c r="AQ90" s="34">
        <v>21351.11694</v>
      </c>
      <c r="AR90" s="34">
        <v>24864.436290000001</v>
      </c>
      <c r="AS90" s="34">
        <v>29522.27779</v>
      </c>
      <c r="AT90" s="34">
        <v>35494.66734</v>
      </c>
      <c r="AU90" s="34">
        <v>37766.679539999997</v>
      </c>
      <c r="AV90" s="34">
        <v>42107.837229999997</v>
      </c>
      <c r="AW90" s="34">
        <v>54196.301729999999</v>
      </c>
      <c r="AX90" s="34">
        <v>70986.301330000002</v>
      </c>
      <c r="AY90" s="34">
        <v>65029.019749999999</v>
      </c>
      <c r="AZ90" s="34">
        <v>69767.343359999999</v>
      </c>
      <c r="BA90" s="34">
        <v>77349.22524</v>
      </c>
      <c r="BB90" s="34">
        <v>79148.332250000007</v>
      </c>
      <c r="BC90" s="34">
        <v>83357.132684343698</v>
      </c>
      <c r="BD90" s="34">
        <v>92334.646309999996</v>
      </c>
      <c r="BE90" s="34">
        <v>85126.97047</v>
      </c>
      <c r="BF90" s="34">
        <v>82197.126770000003</v>
      </c>
      <c r="BG90" s="34">
        <v>83477.834289999999</v>
      </c>
      <c r="BH90" s="34">
        <v>89112.667719999998</v>
      </c>
      <c r="BI90" s="34">
        <v>86481.552590000007</v>
      </c>
      <c r="BJ90" s="34">
        <v>0</v>
      </c>
    </row>
    <row r="91" spans="1:62">
      <c r="A91" s="1" t="s">
        <v>245</v>
      </c>
      <c r="B91" s="34">
        <v>82.188602739999993</v>
      </c>
      <c r="C91" s="34">
        <v>85.354300989999999</v>
      </c>
      <c r="D91" s="34">
        <v>89.881756490000001</v>
      </c>
      <c r="E91" s="34">
        <v>101.12642940000001</v>
      </c>
      <c r="F91" s="34">
        <v>115.5374961</v>
      </c>
      <c r="G91" s="34">
        <v>119.3189163</v>
      </c>
      <c r="H91" s="34">
        <v>89.997304369999995</v>
      </c>
      <c r="I91" s="34">
        <v>96.339136460000006</v>
      </c>
      <c r="J91" s="34">
        <v>99.875962720000004</v>
      </c>
      <c r="K91" s="34">
        <v>107.6223184</v>
      </c>
      <c r="L91" s="34">
        <v>112.4344925</v>
      </c>
      <c r="M91" s="34">
        <v>118.6032415</v>
      </c>
      <c r="N91" s="34">
        <v>122.9818641</v>
      </c>
      <c r="O91" s="34">
        <v>143.77868760000001</v>
      </c>
      <c r="P91" s="34">
        <v>163.47811250000001</v>
      </c>
      <c r="Q91" s="34">
        <v>158.036171</v>
      </c>
      <c r="R91" s="34">
        <v>161.0920922</v>
      </c>
      <c r="S91" s="34">
        <v>186.21350419999999</v>
      </c>
      <c r="T91" s="34">
        <v>205.69338329999999</v>
      </c>
      <c r="U91" s="34">
        <v>224.0010188</v>
      </c>
      <c r="V91" s="34">
        <v>266.57785080000002</v>
      </c>
      <c r="W91" s="34">
        <v>270.47060090000002</v>
      </c>
      <c r="X91" s="34">
        <v>274.11133369999999</v>
      </c>
      <c r="Y91" s="34">
        <v>291.23811009999997</v>
      </c>
      <c r="Z91" s="34">
        <v>276.66795830000001</v>
      </c>
      <c r="AA91" s="34">
        <v>296.43515000000002</v>
      </c>
      <c r="AB91" s="34">
        <v>310.46593280000002</v>
      </c>
      <c r="AC91" s="34">
        <v>340.41683449999999</v>
      </c>
      <c r="AD91" s="34">
        <v>354.14924819999999</v>
      </c>
      <c r="AE91" s="34">
        <v>346.1128885</v>
      </c>
      <c r="AF91" s="34">
        <v>367.55660890000001</v>
      </c>
      <c r="AG91" s="34">
        <v>303.0556077</v>
      </c>
      <c r="AH91" s="34">
        <v>316.95392720000001</v>
      </c>
      <c r="AI91" s="34">
        <v>301.1590023</v>
      </c>
      <c r="AJ91" s="34">
        <v>346.10295139999999</v>
      </c>
      <c r="AK91" s="34">
        <v>373.76648080000001</v>
      </c>
      <c r="AL91" s="34">
        <v>399.95007470000002</v>
      </c>
      <c r="AM91" s="34">
        <v>415.49379779999998</v>
      </c>
      <c r="AN91" s="34">
        <v>413.29893220000002</v>
      </c>
      <c r="AO91" s="34">
        <v>441.99876039999998</v>
      </c>
      <c r="AP91" s="34">
        <v>443.3141938</v>
      </c>
      <c r="AQ91" s="34">
        <v>451.5729973</v>
      </c>
      <c r="AR91" s="34">
        <v>470.9867868</v>
      </c>
      <c r="AS91" s="34">
        <v>546.72661349999998</v>
      </c>
      <c r="AT91" s="34">
        <v>627.77424169999995</v>
      </c>
      <c r="AU91" s="34">
        <v>714.86101540000004</v>
      </c>
      <c r="AV91" s="34">
        <v>806.75328060000004</v>
      </c>
      <c r="AW91" s="34">
        <v>1028.3347719999999</v>
      </c>
      <c r="AX91" s="34">
        <v>998.52234150000004</v>
      </c>
      <c r="AY91" s="34">
        <v>1101.960838</v>
      </c>
      <c r="AZ91" s="34">
        <v>1357.563727</v>
      </c>
      <c r="BA91" s="34">
        <v>1458.1040660000001</v>
      </c>
      <c r="BB91" s="34">
        <v>1443.882435</v>
      </c>
      <c r="BC91" s="34">
        <v>1449.61045069641</v>
      </c>
      <c r="BD91" s="34">
        <v>1573.885642</v>
      </c>
      <c r="BE91" s="34">
        <v>1605.6054449999999</v>
      </c>
      <c r="BF91" s="34">
        <v>1732.5542419999999</v>
      </c>
      <c r="BG91" s="34">
        <v>1980.6670200000001</v>
      </c>
      <c r="BH91" s="34">
        <v>1996.9150870000001</v>
      </c>
      <c r="BI91" s="34">
        <v>2100.7514609999998</v>
      </c>
      <c r="BJ91" s="34">
        <v>1927.707823</v>
      </c>
    </row>
    <row r="92" spans="1:62">
      <c r="A92" s="1" t="s">
        <v>1181</v>
      </c>
      <c r="B92" s="34">
        <v>0</v>
      </c>
      <c r="C92" s="34">
        <v>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  <c r="AQ92" s="34">
        <v>0</v>
      </c>
      <c r="AR92" s="34">
        <v>0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0</v>
      </c>
      <c r="BB92" s="34">
        <v>0</v>
      </c>
      <c r="BC92" s="34"/>
      <c r="BD92" s="34">
        <v>0</v>
      </c>
      <c r="BE92" s="34">
        <v>0</v>
      </c>
      <c r="BF92" s="34">
        <v>0</v>
      </c>
      <c r="BG92" s="34">
        <v>0</v>
      </c>
      <c r="BH92" s="34">
        <v>0</v>
      </c>
      <c r="BI92" s="34">
        <v>0</v>
      </c>
      <c r="BJ92" s="34">
        <v>0</v>
      </c>
    </row>
    <row r="93" spans="1:62">
      <c r="A93" s="1" t="s">
        <v>1091</v>
      </c>
      <c r="B93" s="34">
        <v>685.61471240000003</v>
      </c>
      <c r="C93" s="34">
        <v>739.27640640000004</v>
      </c>
      <c r="D93" s="34">
        <v>797.00628840000002</v>
      </c>
      <c r="E93" s="34">
        <v>852.13530170000001</v>
      </c>
      <c r="F93" s="34">
        <v>965.13542270000005</v>
      </c>
      <c r="G93" s="34">
        <v>1023.773726</v>
      </c>
      <c r="H93" s="34">
        <v>1074.5065059999999</v>
      </c>
      <c r="I93" s="34">
        <v>1152.004952</v>
      </c>
      <c r="J93" s="34">
        <v>1124.5166360000001</v>
      </c>
      <c r="K93" s="34">
        <v>1291.3499200000001</v>
      </c>
      <c r="L93" s="34">
        <v>1486.514527</v>
      </c>
      <c r="M93" s="34">
        <v>1703.9321829999999</v>
      </c>
      <c r="N93" s="34">
        <v>2080.4651469999999</v>
      </c>
      <c r="O93" s="34">
        <v>2424.2690469999998</v>
      </c>
      <c r="P93" s="34">
        <v>2516.927686</v>
      </c>
      <c r="Q93" s="34">
        <v>2973.4001229999999</v>
      </c>
      <c r="R93" s="34">
        <v>2919.583087</v>
      </c>
      <c r="S93" s="34">
        <v>3427.0734360000001</v>
      </c>
      <c r="T93" s="34">
        <v>4399.9868049999995</v>
      </c>
      <c r="U93" s="34">
        <v>5429.9620009999999</v>
      </c>
      <c r="V93" s="34">
        <v>6372.4377750000003</v>
      </c>
      <c r="W93" s="34">
        <v>5986.1541090000001</v>
      </c>
      <c r="X93" s="34">
        <v>6160.638293</v>
      </c>
      <c r="Y93" s="34">
        <v>5915.2417720000003</v>
      </c>
      <c r="Z93" s="34">
        <v>5692.0273859999998</v>
      </c>
      <c r="AA93" s="34">
        <v>6011.7355459999999</v>
      </c>
      <c r="AB93" s="34">
        <v>8112.1713630000004</v>
      </c>
      <c r="AC93" s="34">
        <v>9581.9130860000005</v>
      </c>
      <c r="AD93" s="34">
        <v>10715.870279999999</v>
      </c>
      <c r="AE93" s="34">
        <v>11175.8166</v>
      </c>
      <c r="AF93" s="34">
        <v>14031.30257</v>
      </c>
      <c r="AG93" s="34">
        <v>14087.20744</v>
      </c>
      <c r="AH93" s="34">
        <v>15714.384749999999</v>
      </c>
      <c r="AI93" s="34">
        <v>14657.06155</v>
      </c>
      <c r="AJ93" s="34">
        <v>15902.929679999999</v>
      </c>
      <c r="AK93" s="34">
        <v>19158.456480000001</v>
      </c>
      <c r="AL93" s="34">
        <v>20835.897710000001</v>
      </c>
      <c r="AM93" s="34">
        <v>22551.11391</v>
      </c>
      <c r="AN93" s="34">
        <v>24294.854770000002</v>
      </c>
      <c r="AO93" s="34">
        <v>26329.21443</v>
      </c>
      <c r="AP93" s="34">
        <v>26269.181619999999</v>
      </c>
      <c r="AQ93" s="34">
        <v>28257.938590000002</v>
      </c>
      <c r="AR93" s="34">
        <v>32550.279070000001</v>
      </c>
      <c r="AS93" s="34">
        <v>41112.748220000001</v>
      </c>
      <c r="AT93" s="34">
        <v>47666.547079999997</v>
      </c>
      <c r="AU93" s="34">
        <v>50914.031289999999</v>
      </c>
      <c r="AV93" s="34">
        <v>54283.681779999999</v>
      </c>
      <c r="AW93" s="34">
        <v>61318.466030000003</v>
      </c>
      <c r="AX93" s="34">
        <v>61103.513469999998</v>
      </c>
      <c r="AY93" s="34">
        <v>51927.230960000001</v>
      </c>
      <c r="AZ93" s="34">
        <v>48607.940519999996</v>
      </c>
      <c r="BA93" s="34">
        <v>52108.833229999997</v>
      </c>
      <c r="BB93" s="34">
        <v>49028.827389999999</v>
      </c>
      <c r="BC93" s="34">
        <v>51518.388103176498</v>
      </c>
      <c r="BD93" s="34">
        <v>55525.897250000002</v>
      </c>
      <c r="BE93" s="34">
        <v>61987.550999999999</v>
      </c>
      <c r="BF93" s="34">
        <v>62818.966359999999</v>
      </c>
      <c r="BG93" s="34">
        <v>69601.683879999997</v>
      </c>
      <c r="BH93" s="34">
        <v>79068.974610000005</v>
      </c>
      <c r="BI93" s="34">
        <v>80886.615739999994</v>
      </c>
      <c r="BJ93" s="34">
        <v>85267.764739999999</v>
      </c>
    </row>
    <row r="94" spans="1:62">
      <c r="A94" s="1" t="s">
        <v>443</v>
      </c>
      <c r="B94" s="34">
        <v>191.680825</v>
      </c>
      <c r="C94" s="34">
        <v>196.9250906</v>
      </c>
      <c r="D94" s="34">
        <v>203.43736960000001</v>
      </c>
      <c r="E94" s="34">
        <v>208.13246699999999</v>
      </c>
      <c r="F94" s="34">
        <v>221.32128270000001</v>
      </c>
      <c r="G94" s="34">
        <v>248.3411523</v>
      </c>
      <c r="H94" s="34">
        <v>264.97962769999998</v>
      </c>
      <c r="I94" s="34">
        <v>287.08290890000001</v>
      </c>
      <c r="J94" s="34">
        <v>318.99190659999999</v>
      </c>
      <c r="K94" s="34">
        <v>350.91355570000002</v>
      </c>
      <c r="L94" s="34">
        <v>384.94404250000002</v>
      </c>
      <c r="M94" s="34">
        <v>468.9569401</v>
      </c>
      <c r="N94" s="34">
        <v>570.35062379999999</v>
      </c>
      <c r="O94" s="34">
        <v>876.2681268</v>
      </c>
      <c r="P94" s="34">
        <v>1453.734123</v>
      </c>
      <c r="Q94" s="34">
        <v>1581.9304320000001</v>
      </c>
      <c r="R94" s="34">
        <v>2017.4110840000001</v>
      </c>
      <c r="S94" s="34">
        <v>2315.8931050000001</v>
      </c>
      <c r="T94" s="34">
        <v>2168.8697910000001</v>
      </c>
      <c r="U94" s="34">
        <v>2427.465299</v>
      </c>
      <c r="V94" s="34">
        <v>2441.4406180000001</v>
      </c>
      <c r="W94" s="34">
        <v>2499.9884390000002</v>
      </c>
      <c r="X94" s="34">
        <v>3008.1459209999998</v>
      </c>
      <c r="Y94" s="34">
        <v>3583.3292190000002</v>
      </c>
      <c r="Z94" s="34">
        <v>3568.6554860000001</v>
      </c>
      <c r="AA94" s="34">
        <v>3805.5817670000001</v>
      </c>
      <c r="AB94" s="34">
        <v>4244.6903259999999</v>
      </c>
      <c r="AC94" s="34">
        <v>2617.70064</v>
      </c>
      <c r="AD94" s="34">
        <v>2318.464457</v>
      </c>
      <c r="AE94" s="34">
        <v>2197.9561480000002</v>
      </c>
      <c r="AF94" s="34">
        <v>2214.3276879999999</v>
      </c>
      <c r="AG94" s="34">
        <v>0</v>
      </c>
      <c r="AH94" s="34">
        <v>0</v>
      </c>
      <c r="AI94" s="34">
        <v>1067.307587</v>
      </c>
      <c r="AJ94" s="34">
        <v>1185.6864210000001</v>
      </c>
      <c r="AK94" s="34">
        <v>1569.255447</v>
      </c>
      <c r="AL94" s="34">
        <v>1932.805016</v>
      </c>
      <c r="AM94" s="34">
        <v>1804.336763</v>
      </c>
      <c r="AN94" s="34">
        <v>1723.8353669999999</v>
      </c>
      <c r="AO94" s="34">
        <v>1756.8968030000001</v>
      </c>
      <c r="AP94" s="34">
        <v>1670.0096739999999</v>
      </c>
      <c r="AQ94" s="34">
        <v>1909.4123059999999</v>
      </c>
      <c r="AR94" s="34">
        <v>1911.678649</v>
      </c>
      <c r="AS94" s="34">
        <v>2253.9358350000002</v>
      </c>
      <c r="AT94" s="34">
        <v>2756.1988219999998</v>
      </c>
      <c r="AU94" s="34">
        <v>3246.0511219999999</v>
      </c>
      <c r="AV94" s="34">
        <v>3774.3580550000001</v>
      </c>
      <c r="AW94" s="34">
        <v>4904.6661830000003</v>
      </c>
      <c r="AX94" s="34">
        <v>5717.3141480000004</v>
      </c>
      <c r="AY94" s="34">
        <v>5709.9482930000004</v>
      </c>
      <c r="AZ94" s="34">
        <v>6599.660938</v>
      </c>
      <c r="BA94" s="34">
        <v>7781.4058009999999</v>
      </c>
      <c r="BB94" s="34">
        <v>7927.844908</v>
      </c>
      <c r="BC94" s="34">
        <v>6018.3228995354802</v>
      </c>
      <c r="BD94" s="34">
        <v>5585.5256040000004</v>
      </c>
      <c r="BE94" s="34">
        <v>4904.3273150000005</v>
      </c>
      <c r="BF94" s="34">
        <v>5253.4265599999999</v>
      </c>
      <c r="BG94" s="34">
        <v>5520.3147820000004</v>
      </c>
      <c r="BH94" s="34">
        <v>3598.4834540000002</v>
      </c>
      <c r="BI94" s="34">
        <v>3114.6227530000001</v>
      </c>
      <c r="BJ94" s="34">
        <v>2422.4806570000001</v>
      </c>
    </row>
    <row r="95" spans="1:62">
      <c r="A95" s="1" t="s">
        <v>1089</v>
      </c>
      <c r="B95" s="34">
        <v>0</v>
      </c>
      <c r="C95" s="34">
        <v>0</v>
      </c>
      <c r="D95" s="34">
        <v>254.7015332</v>
      </c>
      <c r="E95" s="34">
        <v>250.7872054</v>
      </c>
      <c r="F95" s="34">
        <v>288.16348169999998</v>
      </c>
      <c r="G95" s="34">
        <v>0</v>
      </c>
      <c r="H95" s="34">
        <v>0</v>
      </c>
      <c r="I95" s="34">
        <v>0</v>
      </c>
      <c r="J95" s="34">
        <v>312.82210850000001</v>
      </c>
      <c r="K95" s="34">
        <v>313.8171509</v>
      </c>
      <c r="L95" s="34">
        <v>330.88536850000003</v>
      </c>
      <c r="M95" s="34">
        <v>376.89176459999999</v>
      </c>
      <c r="N95" s="34">
        <v>388.1112804</v>
      </c>
      <c r="O95" s="34">
        <v>468.85401239999999</v>
      </c>
      <c r="P95" s="34">
        <v>1018.095783</v>
      </c>
      <c r="Q95" s="34">
        <v>1151.818714</v>
      </c>
      <c r="R95" s="34">
        <v>1471.1495339999999</v>
      </c>
      <c r="S95" s="34">
        <v>1591.8822660000001</v>
      </c>
      <c r="T95" s="34">
        <v>1847.6689679999999</v>
      </c>
      <c r="U95" s="34">
        <v>2852.1119739999999</v>
      </c>
      <c r="V95" s="34">
        <v>3850.2644190000001</v>
      </c>
      <c r="W95" s="34">
        <v>2693.1565289999999</v>
      </c>
      <c r="X95" s="34">
        <v>2936.5967900000001</v>
      </c>
      <c r="Y95" s="34">
        <v>2747.9654949999999</v>
      </c>
      <c r="Z95" s="34">
        <v>3090.0041769999998</v>
      </c>
      <c r="AA95" s="34">
        <v>3112.9957639999998</v>
      </c>
      <c r="AB95" s="34">
        <v>2970.7867529999999</v>
      </c>
      <c r="AC95" s="34">
        <v>3492.276687</v>
      </c>
      <c r="AD95" s="34">
        <v>3773.3754170000002</v>
      </c>
      <c r="AE95" s="34">
        <v>3873.6193090000002</v>
      </c>
      <c r="AF95" s="34">
        <v>10356.903050000001</v>
      </c>
      <c r="AG95" s="34">
        <v>22.795345309999998</v>
      </c>
      <c r="AH95" s="34">
        <v>30.086387009999999</v>
      </c>
      <c r="AI95" s="34">
        <v>54.441579779999998</v>
      </c>
      <c r="AJ95" s="34">
        <v>204.27238829999999</v>
      </c>
      <c r="AK95" s="34">
        <v>639.92312440000001</v>
      </c>
      <c r="AL95" s="34">
        <v>502.02867600000002</v>
      </c>
      <c r="AM95" s="34">
        <v>968.52914209999994</v>
      </c>
      <c r="AN95" s="34">
        <v>932.30973059999997</v>
      </c>
      <c r="AO95" s="34">
        <v>1617.4678939999999</v>
      </c>
      <c r="AP95" s="34">
        <v>2058.2644009999999</v>
      </c>
      <c r="AQ95" s="34">
        <v>1494.3888019999999</v>
      </c>
      <c r="AR95" s="34">
        <v>1320.734706</v>
      </c>
      <c r="AS95" s="34">
        <v>854.82528079999997</v>
      </c>
      <c r="AT95" s="34">
        <v>1391.963489</v>
      </c>
      <c r="AU95" s="34">
        <v>1855.522348</v>
      </c>
      <c r="AV95" s="34">
        <v>2373.2094480000001</v>
      </c>
      <c r="AW95" s="34">
        <v>3182.841351</v>
      </c>
      <c r="AX95" s="34">
        <v>4636.6393250000001</v>
      </c>
      <c r="AY95" s="34">
        <v>3853.8286199999998</v>
      </c>
      <c r="AZ95" s="34">
        <v>4657.2802689999999</v>
      </c>
      <c r="BA95" s="34">
        <v>6045.4945669999997</v>
      </c>
      <c r="BB95" s="34">
        <v>6836.0739949999997</v>
      </c>
      <c r="BC95" s="34">
        <v>7076.5522652518803</v>
      </c>
      <c r="BD95" s="34">
        <v>6637.6843749999998</v>
      </c>
      <c r="BE95" s="34">
        <v>4688.3180169999996</v>
      </c>
      <c r="BF95" s="34">
        <v>4550.6586379999999</v>
      </c>
      <c r="BG95" s="34">
        <v>4985.4528790000004</v>
      </c>
      <c r="BH95" s="34">
        <v>5915.8508540000003</v>
      </c>
      <c r="BI95" s="34">
        <v>5980.6269179999999</v>
      </c>
      <c r="BJ95" s="34">
        <v>4145.8629360000004</v>
      </c>
    </row>
    <row r="96" spans="1:62">
      <c r="A96" s="1" t="s">
        <v>1085</v>
      </c>
      <c r="B96" s="34">
        <v>1414.9822690000001</v>
      </c>
      <c r="C96" s="34">
        <v>1418.1258700000001</v>
      </c>
      <c r="D96" s="34">
        <v>1562.23073</v>
      </c>
      <c r="E96" s="34">
        <v>1831.7056560000001</v>
      </c>
      <c r="F96" s="34">
        <v>2297.9206429999999</v>
      </c>
      <c r="G96" s="34">
        <v>2723.5209500000001</v>
      </c>
      <c r="H96" s="34">
        <v>3215.6941780000002</v>
      </c>
      <c r="I96" s="34">
        <v>3125.649492</v>
      </c>
      <c r="J96" s="34">
        <v>2354.4800270000001</v>
      </c>
      <c r="K96" s="34">
        <v>2039.196295</v>
      </c>
      <c r="L96" s="34">
        <v>2576.3534439999999</v>
      </c>
      <c r="M96" s="34">
        <v>3252.0991779999999</v>
      </c>
      <c r="N96" s="34">
        <v>4014.8427299999998</v>
      </c>
      <c r="O96" s="34">
        <v>5437.342525</v>
      </c>
      <c r="P96" s="34">
        <v>7040.5540440000004</v>
      </c>
      <c r="Q96" s="34">
        <v>6454.1771520000002</v>
      </c>
      <c r="R96" s="34">
        <v>7583.2752979999996</v>
      </c>
      <c r="S96" s="34">
        <v>9957.2544340000004</v>
      </c>
      <c r="T96" s="34">
        <v>11236.73574</v>
      </c>
      <c r="U96" s="34">
        <v>12640.640810000001</v>
      </c>
      <c r="V96" s="34">
        <v>14821.814179999999</v>
      </c>
      <c r="W96" s="34">
        <v>15137.253839999999</v>
      </c>
      <c r="X96" s="34">
        <v>13711.735930000001</v>
      </c>
      <c r="Y96" s="34">
        <v>11671.80906</v>
      </c>
      <c r="Z96" s="34">
        <v>11959.53988</v>
      </c>
      <c r="AA96" s="34">
        <v>12361.18694</v>
      </c>
      <c r="AB96" s="34">
        <v>16406.047849999999</v>
      </c>
      <c r="AC96" s="34">
        <v>22453.188020000001</v>
      </c>
      <c r="AD96" s="34">
        <v>24451.973129999998</v>
      </c>
      <c r="AE96" s="34">
        <v>22434.346560000002</v>
      </c>
      <c r="AF96" s="34">
        <v>25384.91475</v>
      </c>
      <c r="AG96" s="34">
        <v>26802.989320000001</v>
      </c>
      <c r="AH96" s="34">
        <v>27124.274270000002</v>
      </c>
      <c r="AI96" s="34">
        <v>23579.795139999998</v>
      </c>
      <c r="AJ96" s="34">
        <v>24018.63118</v>
      </c>
      <c r="AK96" s="34">
        <v>26633.59114</v>
      </c>
      <c r="AL96" s="34">
        <v>27614.873339999998</v>
      </c>
      <c r="AM96" s="34">
        <v>27919.163550000001</v>
      </c>
      <c r="AN96" s="34">
        <v>31030.053599999999</v>
      </c>
      <c r="AO96" s="34">
        <v>32381.625240000001</v>
      </c>
      <c r="AP96" s="34">
        <v>32096.37226</v>
      </c>
      <c r="AQ96" s="34">
        <v>28897.443940000001</v>
      </c>
      <c r="AR96" s="34">
        <v>32409.21615</v>
      </c>
      <c r="AS96" s="34">
        <v>39476.697849999997</v>
      </c>
      <c r="AT96" s="34">
        <v>47334.930650000002</v>
      </c>
      <c r="AU96" s="34">
        <v>56794.850160000002</v>
      </c>
      <c r="AV96" s="34">
        <v>57492.934249999998</v>
      </c>
      <c r="AW96" s="34">
        <v>69495.726739999998</v>
      </c>
      <c r="AX96" s="34">
        <v>56943.370450000002</v>
      </c>
      <c r="AY96" s="34">
        <v>41301.273220000003</v>
      </c>
      <c r="AZ96" s="34">
        <v>43237.072950000002</v>
      </c>
      <c r="BA96" s="34">
        <v>47714.592230000002</v>
      </c>
      <c r="BB96" s="34">
        <v>45995.547879999998</v>
      </c>
      <c r="BC96" s="34">
        <v>49804.982997837098</v>
      </c>
      <c r="BD96" s="34">
        <v>54576.744809999997</v>
      </c>
      <c r="BE96" s="34">
        <v>52951.681510000002</v>
      </c>
      <c r="BF96" s="34">
        <v>61987.926359999998</v>
      </c>
      <c r="BG96" s="34">
        <v>72010.14903</v>
      </c>
      <c r="BH96" s="34">
        <v>74469.804059999995</v>
      </c>
      <c r="BI96" s="34">
        <v>68941.462230000005</v>
      </c>
      <c r="BJ96" s="34">
        <v>59270.180050000003</v>
      </c>
    </row>
    <row r="97" spans="1:62">
      <c r="A97" s="1" t="s">
        <v>1093</v>
      </c>
      <c r="B97" s="34">
        <v>1229.1747479999999</v>
      </c>
      <c r="C97" s="34">
        <v>1436.3844389999999</v>
      </c>
      <c r="D97" s="34">
        <v>1094.6358479999999</v>
      </c>
      <c r="E97" s="34">
        <v>1257.8114049999999</v>
      </c>
      <c r="F97" s="34">
        <v>1375.8922560000001</v>
      </c>
      <c r="G97" s="34">
        <v>1429.314605</v>
      </c>
      <c r="H97" s="34">
        <v>1513.8836060000001</v>
      </c>
      <c r="I97" s="34">
        <v>1468.1238619999999</v>
      </c>
      <c r="J97" s="34">
        <v>1647.8772739999999</v>
      </c>
      <c r="K97" s="34">
        <v>1852.3925389999999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18143.499100000001</v>
      </c>
      <c r="AL97" s="34">
        <v>19357.109349999999</v>
      </c>
      <c r="AM97" s="34">
        <v>19663.038420000001</v>
      </c>
      <c r="AN97" s="34">
        <v>19427.077990000002</v>
      </c>
      <c r="AO97" s="34">
        <v>19129.194790000001</v>
      </c>
      <c r="AP97" s="34">
        <v>21061.48228</v>
      </c>
      <c r="AQ97" s="34">
        <v>20316.248049999998</v>
      </c>
      <c r="AR97" s="34">
        <v>18439.64616</v>
      </c>
      <c r="AS97" s="34">
        <v>18991.379850000001</v>
      </c>
      <c r="AT97" s="34">
        <v>19910.610669999998</v>
      </c>
      <c r="AU97" s="34">
        <v>20585.138610000002</v>
      </c>
      <c r="AV97" s="34">
        <v>21853.140240000001</v>
      </c>
      <c r="AW97" s="34">
        <v>24952.547589999998</v>
      </c>
      <c r="AX97" s="34">
        <v>29650.770250000001</v>
      </c>
      <c r="AY97" s="34">
        <v>27780.46372</v>
      </c>
      <c r="AZ97" s="34">
        <v>30780.023819999999</v>
      </c>
      <c r="BA97" s="34">
        <v>33775.512000000002</v>
      </c>
      <c r="BB97" s="34">
        <v>32667.60687</v>
      </c>
      <c r="BC97" s="34">
        <v>36499.456108228398</v>
      </c>
      <c r="BD97" s="34">
        <v>37847.649940000003</v>
      </c>
      <c r="BE97" s="34">
        <v>35808.436430000002</v>
      </c>
      <c r="BF97" s="34">
        <v>37330.2618</v>
      </c>
      <c r="BG97" s="34">
        <v>40774.129610000004</v>
      </c>
      <c r="BH97" s="34">
        <v>42063.453130000002</v>
      </c>
      <c r="BI97" s="34">
        <v>43951.247730000003</v>
      </c>
      <c r="BJ97" s="34">
        <v>44168.943639999998</v>
      </c>
    </row>
    <row r="98" spans="1:62">
      <c r="A98" s="1" t="s">
        <v>1095</v>
      </c>
      <c r="B98" s="34">
        <v>804.49262329999999</v>
      </c>
      <c r="C98" s="34">
        <v>887.33674459999997</v>
      </c>
      <c r="D98" s="34">
        <v>990.26015219999999</v>
      </c>
      <c r="E98" s="34">
        <v>1126.019337</v>
      </c>
      <c r="F98" s="34">
        <v>1222.5445400000001</v>
      </c>
      <c r="G98" s="34">
        <v>1304.4538170000001</v>
      </c>
      <c r="H98" s="34">
        <v>1402.442354</v>
      </c>
      <c r="I98" s="34">
        <v>1533.692877</v>
      </c>
      <c r="J98" s="34">
        <v>1651.9393769999999</v>
      </c>
      <c r="K98" s="34">
        <v>1813.3881260000001</v>
      </c>
      <c r="L98" s="34">
        <v>2106.8639589999998</v>
      </c>
      <c r="M98" s="34">
        <v>2305.609751</v>
      </c>
      <c r="N98" s="34">
        <v>2671.1373140000001</v>
      </c>
      <c r="O98" s="34">
        <v>3205.2520399999999</v>
      </c>
      <c r="P98" s="34">
        <v>3621.145822</v>
      </c>
      <c r="Q98" s="34">
        <v>4106.9938679999996</v>
      </c>
      <c r="R98" s="34">
        <v>4033.0993539999999</v>
      </c>
      <c r="S98" s="34">
        <v>4603.5997010000001</v>
      </c>
      <c r="T98" s="34">
        <v>5610.4980990000004</v>
      </c>
      <c r="U98" s="34">
        <v>6990.2858070000002</v>
      </c>
      <c r="V98" s="34">
        <v>8456.9189740000002</v>
      </c>
      <c r="W98" s="34">
        <v>7622.8333279999997</v>
      </c>
      <c r="X98" s="34">
        <v>7556.5234369999998</v>
      </c>
      <c r="Y98" s="34">
        <v>7832.5753869999999</v>
      </c>
      <c r="Z98" s="34">
        <v>7739.7152839999999</v>
      </c>
      <c r="AA98" s="34">
        <v>7990.6865660000003</v>
      </c>
      <c r="AB98" s="34">
        <v>11315.01518</v>
      </c>
      <c r="AC98" s="34">
        <v>14234.728639999999</v>
      </c>
      <c r="AD98" s="34">
        <v>15744.661260000001</v>
      </c>
      <c r="AE98" s="34">
        <v>16386.662209999999</v>
      </c>
      <c r="AF98" s="34">
        <v>20825.784220000001</v>
      </c>
      <c r="AG98" s="34">
        <v>21956.529770000001</v>
      </c>
      <c r="AH98" s="34">
        <v>23243.47453</v>
      </c>
      <c r="AI98" s="34">
        <v>18738.763900000002</v>
      </c>
      <c r="AJ98" s="34">
        <v>19337.6309</v>
      </c>
      <c r="AK98" s="34">
        <v>20664.55227</v>
      </c>
      <c r="AL98" s="34">
        <v>23081.60468</v>
      </c>
      <c r="AM98" s="34">
        <v>21829.345819999999</v>
      </c>
      <c r="AN98" s="34">
        <v>22318.137299999999</v>
      </c>
      <c r="AO98" s="34">
        <v>21997.624319999999</v>
      </c>
      <c r="AP98" s="34">
        <v>20087.591990000001</v>
      </c>
      <c r="AQ98" s="34">
        <v>20483.215990000001</v>
      </c>
      <c r="AR98" s="34">
        <v>22270.144120000001</v>
      </c>
      <c r="AS98" s="34">
        <v>27465.675299999999</v>
      </c>
      <c r="AT98" s="34">
        <v>31259.716499999999</v>
      </c>
      <c r="AU98" s="34">
        <v>32043.140370000001</v>
      </c>
      <c r="AV98" s="34">
        <v>33501.658170000002</v>
      </c>
      <c r="AW98" s="34">
        <v>37822.665240000002</v>
      </c>
      <c r="AX98" s="34">
        <v>40778.34274</v>
      </c>
      <c r="AY98" s="34">
        <v>37079.758670000003</v>
      </c>
      <c r="AZ98" s="34">
        <v>36000.520120000001</v>
      </c>
      <c r="BA98" s="34">
        <v>38599.062209999996</v>
      </c>
      <c r="BB98" s="34">
        <v>35053.526239999999</v>
      </c>
      <c r="BC98" s="34">
        <v>35549.974697295402</v>
      </c>
      <c r="BD98" s="34">
        <v>35518.415289999997</v>
      </c>
      <c r="BE98" s="34">
        <v>30230.226299999998</v>
      </c>
      <c r="BF98" s="34">
        <v>30939.714250000001</v>
      </c>
      <c r="BG98" s="34">
        <v>32326.674210000001</v>
      </c>
      <c r="BH98" s="34">
        <v>34605.262730000002</v>
      </c>
      <c r="BI98" s="34">
        <v>33641.633750000001</v>
      </c>
      <c r="BJ98" s="34">
        <v>31714.220949999999</v>
      </c>
    </row>
    <row r="99" spans="1:62">
      <c r="A99" s="1" t="s">
        <v>1052</v>
      </c>
      <c r="B99" s="34">
        <v>429.25414610000001</v>
      </c>
      <c r="C99" s="34">
        <v>453.05783439999999</v>
      </c>
      <c r="D99" s="34">
        <v>463.89051339999997</v>
      </c>
      <c r="E99" s="34">
        <v>485.24380810000002</v>
      </c>
      <c r="F99" s="34">
        <v>518.81387159999997</v>
      </c>
      <c r="G99" s="34">
        <v>553.45068579999997</v>
      </c>
      <c r="H99" s="34">
        <v>615.96434369999997</v>
      </c>
      <c r="I99" s="34">
        <v>636.61627490000001</v>
      </c>
      <c r="J99" s="34">
        <v>593.62472379999997</v>
      </c>
      <c r="K99" s="34">
        <v>644.05833480000001</v>
      </c>
      <c r="L99" s="34">
        <v>748.95945810000001</v>
      </c>
      <c r="M99" s="34">
        <v>808.63355460000002</v>
      </c>
      <c r="N99" s="34">
        <v>968.97293090000005</v>
      </c>
      <c r="O99" s="34">
        <v>968.95722939999996</v>
      </c>
      <c r="P99" s="34">
        <v>1188.550667</v>
      </c>
      <c r="Q99" s="34">
        <v>1410.4459999999999</v>
      </c>
      <c r="R99" s="34">
        <v>1443.0534580000001</v>
      </c>
      <c r="S99" s="34">
        <v>1561.7358280000001</v>
      </c>
      <c r="T99" s="34">
        <v>1255.7317370000001</v>
      </c>
      <c r="U99" s="34">
        <v>1137.0274710000001</v>
      </c>
      <c r="V99" s="34">
        <v>1238.8390690000001</v>
      </c>
      <c r="W99" s="34">
        <v>1356.016631</v>
      </c>
      <c r="X99" s="34">
        <v>1474.2354009999999</v>
      </c>
      <c r="Y99" s="34">
        <v>1593.184998</v>
      </c>
      <c r="Z99" s="34">
        <v>1029.1367150000001</v>
      </c>
      <c r="AA99" s="34">
        <v>899.25675750000005</v>
      </c>
      <c r="AB99" s="34">
        <v>1168.097303</v>
      </c>
      <c r="AC99" s="34">
        <v>1383.761704</v>
      </c>
      <c r="AD99" s="34">
        <v>1602.1958239999999</v>
      </c>
      <c r="AE99" s="34">
        <v>1832.7589089999999</v>
      </c>
      <c r="AF99" s="34">
        <v>1897.6908840000001</v>
      </c>
      <c r="AG99" s="34">
        <v>1683.3314310000001</v>
      </c>
      <c r="AH99" s="34">
        <v>1436.567481</v>
      </c>
      <c r="AI99" s="34">
        <v>2189.528292</v>
      </c>
      <c r="AJ99" s="34">
        <v>2173.1658480000001</v>
      </c>
      <c r="AK99" s="34">
        <v>2596.0101209999998</v>
      </c>
      <c r="AL99" s="34">
        <v>2889.7811190000002</v>
      </c>
      <c r="AM99" s="34">
        <v>3250.8953059999999</v>
      </c>
      <c r="AN99" s="34">
        <v>3368.194716</v>
      </c>
      <c r="AO99" s="34">
        <v>3375.6749749999999</v>
      </c>
      <c r="AP99" s="34">
        <v>3392.1238779999999</v>
      </c>
      <c r="AQ99" s="34">
        <v>3437.6555170000001</v>
      </c>
      <c r="AR99" s="34">
        <v>3609.2033310000002</v>
      </c>
      <c r="AS99" s="34">
        <v>3480.511665</v>
      </c>
      <c r="AT99" s="34">
        <v>3733.798671</v>
      </c>
      <c r="AU99" s="34">
        <v>4103.6016369999998</v>
      </c>
      <c r="AV99" s="34">
        <v>4331.2920530000001</v>
      </c>
      <c r="AW99" s="34">
        <v>4623.7478970000002</v>
      </c>
      <c r="AX99" s="34">
        <v>4928.1264090000004</v>
      </c>
      <c r="AY99" s="34">
        <v>4335.1784109999999</v>
      </c>
      <c r="AZ99" s="34">
        <v>4704.0477600000004</v>
      </c>
      <c r="BA99" s="34">
        <v>5111.4659869999996</v>
      </c>
      <c r="BB99" s="34">
        <v>5209.8592639999997</v>
      </c>
      <c r="BC99" s="34">
        <v>4989.7340889101197</v>
      </c>
      <c r="BD99" s="34">
        <v>4834.284009</v>
      </c>
      <c r="BE99" s="34">
        <v>4907.9274150000001</v>
      </c>
      <c r="BF99" s="34">
        <v>4843.7498999999998</v>
      </c>
      <c r="BG99" s="34">
        <v>5070.0995030000004</v>
      </c>
      <c r="BH99" s="34">
        <v>5359.9937890000001</v>
      </c>
      <c r="BI99" s="34">
        <v>5369.4983709999997</v>
      </c>
      <c r="BJ99" s="34">
        <v>4664.5302419999998</v>
      </c>
    </row>
    <row r="100" spans="1:62">
      <c r="A100" s="1" t="s">
        <v>1054</v>
      </c>
      <c r="B100" s="34">
        <v>0</v>
      </c>
      <c r="C100" s="34">
        <v>0</v>
      </c>
      <c r="D100" s="34">
        <v>0</v>
      </c>
      <c r="E100" s="34">
        <v>0</v>
      </c>
      <c r="F100" s="34">
        <v>0</v>
      </c>
      <c r="G100" s="34">
        <v>511.10297079999998</v>
      </c>
      <c r="H100" s="34">
        <v>519.3735193</v>
      </c>
      <c r="I100" s="34">
        <v>458.12770219999999</v>
      </c>
      <c r="J100" s="34">
        <v>374.08299770000002</v>
      </c>
      <c r="K100" s="34">
        <v>432.14554700000002</v>
      </c>
      <c r="L100" s="34">
        <v>371.57449489999999</v>
      </c>
      <c r="M100" s="34">
        <v>374.88614480000001</v>
      </c>
      <c r="N100" s="34">
        <v>418.5811357</v>
      </c>
      <c r="O100" s="34">
        <v>484.33572229999999</v>
      </c>
      <c r="P100" s="34">
        <v>596.42044729999998</v>
      </c>
      <c r="Q100" s="34">
        <v>659.77484059999995</v>
      </c>
      <c r="R100" s="34">
        <v>804.79984730000001</v>
      </c>
      <c r="S100" s="34">
        <v>962.01064380000003</v>
      </c>
      <c r="T100" s="34">
        <v>1163.013013</v>
      </c>
      <c r="U100" s="34">
        <v>1420.5659949999999</v>
      </c>
      <c r="V100" s="34">
        <v>1644.2564580000001</v>
      </c>
      <c r="W100" s="34">
        <v>1778.870784</v>
      </c>
      <c r="X100" s="34">
        <v>1825.832545</v>
      </c>
      <c r="Y100" s="34">
        <v>1841.874544</v>
      </c>
      <c r="Z100" s="34">
        <v>1783.726598</v>
      </c>
      <c r="AA100" s="34">
        <v>1721.9774090000001</v>
      </c>
      <c r="AB100" s="34">
        <v>2122.9704299999999</v>
      </c>
      <c r="AC100" s="34">
        <v>2157.0978709999999</v>
      </c>
      <c r="AD100" s="34">
        <v>1927.559405</v>
      </c>
      <c r="AE100" s="34">
        <v>1241.698005</v>
      </c>
      <c r="AF100" s="34">
        <v>1166.6109300000001</v>
      </c>
      <c r="AG100" s="34">
        <v>1155.234236</v>
      </c>
      <c r="AH100" s="34">
        <v>1335.287511</v>
      </c>
      <c r="AI100" s="34">
        <v>1334.228922</v>
      </c>
      <c r="AJ100" s="34">
        <v>1414.3389110000001</v>
      </c>
      <c r="AK100" s="34">
        <v>1466.0445119999999</v>
      </c>
      <c r="AL100" s="34">
        <v>1463.8879669999999</v>
      </c>
      <c r="AM100" s="34">
        <v>1494.5106270000001</v>
      </c>
      <c r="AN100" s="34">
        <v>1600.397931</v>
      </c>
      <c r="AO100" s="34">
        <v>1619.5358650000001</v>
      </c>
      <c r="AP100" s="34">
        <v>1651.6217979999999</v>
      </c>
      <c r="AQ100" s="34">
        <v>1720.361427</v>
      </c>
      <c r="AR100" s="34">
        <v>1802.0550639999999</v>
      </c>
      <c r="AS100" s="34">
        <v>1876.2593380000001</v>
      </c>
      <c r="AT100" s="34">
        <v>2044.9637230000001</v>
      </c>
      <c r="AU100" s="34">
        <v>2183.3946430000001</v>
      </c>
      <c r="AV100" s="34">
        <v>2513.0287320000002</v>
      </c>
      <c r="AW100" s="34">
        <v>2735.3787670000002</v>
      </c>
      <c r="AX100" s="34">
        <v>3455.769953</v>
      </c>
      <c r="AY100" s="34">
        <v>3559.692102</v>
      </c>
      <c r="AZ100" s="34">
        <v>3736.645462</v>
      </c>
      <c r="BA100" s="34">
        <v>3852.8900250000002</v>
      </c>
      <c r="BB100" s="34">
        <v>3910.3468939999998</v>
      </c>
      <c r="BC100" s="34">
        <v>4044.4268689118499</v>
      </c>
      <c r="BD100" s="34">
        <v>4131.4473500000004</v>
      </c>
      <c r="BE100" s="34">
        <v>4164.1087690000004</v>
      </c>
      <c r="BF100" s="34">
        <v>4175.3566019999998</v>
      </c>
      <c r="BG100" s="34">
        <v>4231.5182800000002</v>
      </c>
      <c r="BH100" s="34">
        <v>4308.1510740000003</v>
      </c>
      <c r="BI100" s="34">
        <v>4405.4871089999997</v>
      </c>
      <c r="BJ100" s="34">
        <v>4282.7658250000004</v>
      </c>
    </row>
    <row r="101" spans="1:62">
      <c r="A101" s="1" t="s">
        <v>1098</v>
      </c>
      <c r="B101" s="34">
        <v>475.31907560000002</v>
      </c>
      <c r="C101" s="34">
        <v>568.90774269999997</v>
      </c>
      <c r="D101" s="34">
        <v>639.64078540000003</v>
      </c>
      <c r="E101" s="34">
        <v>724.69376220000004</v>
      </c>
      <c r="F101" s="34">
        <v>843.61687849999998</v>
      </c>
      <c r="G101" s="34">
        <v>928.51884859999996</v>
      </c>
      <c r="H101" s="34">
        <v>1068.55844</v>
      </c>
      <c r="I101" s="34">
        <v>1239.3183770000001</v>
      </c>
      <c r="J101" s="34">
        <v>1451.3377029999999</v>
      </c>
      <c r="K101" s="34">
        <v>1684.6594030000001</v>
      </c>
      <c r="L101" s="34">
        <v>2056.122046</v>
      </c>
      <c r="M101" s="34">
        <v>2272.0778019999998</v>
      </c>
      <c r="N101" s="34">
        <v>2967.0419959999999</v>
      </c>
      <c r="O101" s="34">
        <v>3974.7456050000001</v>
      </c>
      <c r="P101" s="34">
        <v>4353.8243549999997</v>
      </c>
      <c r="Q101" s="34">
        <v>4674.4454809999997</v>
      </c>
      <c r="R101" s="34">
        <v>5197.6223369999998</v>
      </c>
      <c r="S101" s="34">
        <v>6335.2868710000002</v>
      </c>
      <c r="T101" s="34">
        <v>8820.6919450000005</v>
      </c>
      <c r="U101" s="34">
        <v>9103.5647559999998</v>
      </c>
      <c r="V101" s="34">
        <v>9463.3538549999994</v>
      </c>
      <c r="W101" s="34">
        <v>10360.17827</v>
      </c>
      <c r="X101" s="34">
        <v>9575.6077129999994</v>
      </c>
      <c r="Y101" s="34">
        <v>10421.212439999999</v>
      </c>
      <c r="Z101" s="34">
        <v>10978.919809999999</v>
      </c>
      <c r="AA101" s="34">
        <v>11576.69211</v>
      </c>
      <c r="AB101" s="34">
        <v>17113.262320000002</v>
      </c>
      <c r="AC101" s="34">
        <v>20748.99092</v>
      </c>
      <c r="AD101" s="34">
        <v>25059.007430000001</v>
      </c>
      <c r="AE101" s="34">
        <v>24822.775570000002</v>
      </c>
      <c r="AF101" s="34">
        <v>25371.464169999999</v>
      </c>
      <c r="AG101" s="34">
        <v>28915.0082</v>
      </c>
      <c r="AH101" s="34">
        <v>31414.984639999999</v>
      </c>
      <c r="AI101" s="34">
        <v>35681.963940000001</v>
      </c>
      <c r="AJ101" s="34">
        <v>39933.515059999998</v>
      </c>
      <c r="AK101" s="34">
        <v>44197.619100000004</v>
      </c>
      <c r="AL101" s="34">
        <v>39150.039629999999</v>
      </c>
      <c r="AM101" s="34">
        <v>35638.231959999997</v>
      </c>
      <c r="AN101" s="34">
        <v>32423.75561</v>
      </c>
      <c r="AO101" s="34">
        <v>36610.168319999997</v>
      </c>
      <c r="AP101" s="34">
        <v>39169.359570000001</v>
      </c>
      <c r="AQ101" s="34">
        <v>34406.182460000004</v>
      </c>
      <c r="AR101" s="34">
        <v>32820.793640000004</v>
      </c>
      <c r="AS101" s="34">
        <v>35387.037420000001</v>
      </c>
      <c r="AT101" s="34">
        <v>38298.980170000003</v>
      </c>
      <c r="AU101" s="34">
        <v>37812.895020000004</v>
      </c>
      <c r="AV101" s="34">
        <v>35991.546000000002</v>
      </c>
      <c r="AW101" s="34">
        <v>35779.024539999999</v>
      </c>
      <c r="AX101" s="34">
        <v>39876.303970000001</v>
      </c>
      <c r="AY101" s="34">
        <v>41308.99684</v>
      </c>
      <c r="AZ101" s="34">
        <v>44968.156230000001</v>
      </c>
      <c r="BA101" s="34">
        <v>48760.078950000003</v>
      </c>
      <c r="BB101" s="34">
        <v>49145.280429999999</v>
      </c>
      <c r="BC101" s="34">
        <v>40898.647896474402</v>
      </c>
      <c r="BD101" s="34">
        <v>38475.395250000001</v>
      </c>
      <c r="BE101" s="34">
        <v>34960.639380000001</v>
      </c>
      <c r="BF101" s="34">
        <v>39400.73936</v>
      </c>
      <c r="BG101" s="34">
        <v>38891.08627</v>
      </c>
      <c r="BH101" s="34">
        <v>39808.168559999998</v>
      </c>
      <c r="BI101" s="34">
        <v>40777.608699999997</v>
      </c>
      <c r="BJ101" s="34">
        <v>40193.252439999997</v>
      </c>
    </row>
    <row r="102" spans="1:62">
      <c r="A102" s="1" t="s">
        <v>1055</v>
      </c>
      <c r="B102" s="34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1647.4632429999999</v>
      </c>
      <c r="AG102" s="34">
        <v>1514.923094</v>
      </c>
      <c r="AH102" s="34">
        <v>1515.7376589999999</v>
      </c>
      <c r="AI102" s="34">
        <v>1429.0781770000001</v>
      </c>
      <c r="AJ102" s="34">
        <v>1316.1836290000001</v>
      </c>
      <c r="AK102" s="34">
        <v>1288.188519</v>
      </c>
      <c r="AL102" s="34">
        <v>1350.30567</v>
      </c>
      <c r="AM102" s="34">
        <v>1445.5032369999999</v>
      </c>
      <c r="AN102" s="34">
        <v>1468.6692909999999</v>
      </c>
      <c r="AO102" s="34">
        <v>1130.1178440000001</v>
      </c>
      <c r="AP102" s="34">
        <v>1229.0012469999999</v>
      </c>
      <c r="AQ102" s="34">
        <v>1490.9270899999999</v>
      </c>
      <c r="AR102" s="34">
        <v>1658.0307849999999</v>
      </c>
      <c r="AS102" s="34">
        <v>2068.123979</v>
      </c>
      <c r="AT102" s="34">
        <v>2874.2884829999998</v>
      </c>
      <c r="AU102" s="34">
        <v>3771.278957</v>
      </c>
      <c r="AV102" s="34">
        <v>5291.5753050000003</v>
      </c>
      <c r="AW102" s="34">
        <v>6771.4147970000004</v>
      </c>
      <c r="AX102" s="34">
        <v>8458.0171539999992</v>
      </c>
      <c r="AY102" s="34">
        <v>7165.2231750000001</v>
      </c>
      <c r="AZ102" s="34">
        <v>9070.4882529999995</v>
      </c>
      <c r="BA102" s="34">
        <v>11634.001200000001</v>
      </c>
      <c r="BB102" s="34">
        <v>12386.699269999999</v>
      </c>
      <c r="BC102" s="34">
        <v>13890.6309562926</v>
      </c>
      <c r="BD102" s="34">
        <v>12807.260689999999</v>
      </c>
      <c r="BE102" s="34">
        <v>10510.77189</v>
      </c>
      <c r="BF102" s="34">
        <v>7714.8418439999996</v>
      </c>
      <c r="BG102" s="34">
        <v>9247.5813309999994</v>
      </c>
      <c r="BH102" s="34">
        <v>9812.6263710000003</v>
      </c>
      <c r="BI102" s="34">
        <v>9812.595808</v>
      </c>
      <c r="BJ102" s="34">
        <v>9122.2334300000002</v>
      </c>
    </row>
    <row r="103" spans="1:62">
      <c r="A103" s="1" t="s">
        <v>382</v>
      </c>
      <c r="B103" s="34">
        <v>97.445501019999995</v>
      </c>
      <c r="C103" s="34">
        <v>94.651292679999997</v>
      </c>
      <c r="D103" s="34">
        <v>100.3944951</v>
      </c>
      <c r="E103" s="34">
        <v>103.778721</v>
      </c>
      <c r="F103" s="34">
        <v>108.29368839999999</v>
      </c>
      <c r="G103" s="34">
        <v>104.71167389999999</v>
      </c>
      <c r="H103" s="34">
        <v>118.2079104</v>
      </c>
      <c r="I103" s="34">
        <v>120.9875906</v>
      </c>
      <c r="J103" s="34">
        <v>128.39726200000001</v>
      </c>
      <c r="K103" s="34">
        <v>133.66534590000001</v>
      </c>
      <c r="L103" s="34">
        <v>141.88049340000001</v>
      </c>
      <c r="M103" s="34">
        <v>151.8299586</v>
      </c>
      <c r="N103" s="34">
        <v>173.49473180000001</v>
      </c>
      <c r="O103" s="34">
        <v>199.11423529999999</v>
      </c>
      <c r="P103" s="34">
        <v>227.10596749999999</v>
      </c>
      <c r="Q103" s="34">
        <v>240.08319270000001</v>
      </c>
      <c r="R103" s="34">
        <v>246.48686140000001</v>
      </c>
      <c r="S103" s="34">
        <v>307.01643200000001</v>
      </c>
      <c r="T103" s="34">
        <v>348.80644439999998</v>
      </c>
      <c r="U103" s="34">
        <v>394.63738110000003</v>
      </c>
      <c r="V103" s="34">
        <v>442.54282119999999</v>
      </c>
      <c r="W103" s="34">
        <v>401.69618350000002</v>
      </c>
      <c r="X103" s="34">
        <v>362.62185060000002</v>
      </c>
      <c r="Y103" s="34">
        <v>324.39650169999999</v>
      </c>
      <c r="Z103" s="34">
        <v>323.37338089999997</v>
      </c>
      <c r="AA103" s="34">
        <v>308.6487027</v>
      </c>
      <c r="AB103" s="34">
        <v>351.02948989999999</v>
      </c>
      <c r="AC103" s="34">
        <v>372.77986870000001</v>
      </c>
      <c r="AD103" s="34">
        <v>377.15535269999998</v>
      </c>
      <c r="AE103" s="34">
        <v>361.15469230000002</v>
      </c>
      <c r="AF103" s="34">
        <v>361.32826510000001</v>
      </c>
      <c r="AG103" s="34">
        <v>332.41881069999999</v>
      </c>
      <c r="AH103" s="34">
        <v>324.1373782</v>
      </c>
      <c r="AI103" s="34">
        <v>220.0697184</v>
      </c>
      <c r="AJ103" s="34">
        <v>265.23230569999998</v>
      </c>
      <c r="AK103" s="34">
        <v>325.77892910000003</v>
      </c>
      <c r="AL103" s="34">
        <v>421.33919709999998</v>
      </c>
      <c r="AM103" s="34">
        <v>445.87725510000001</v>
      </c>
      <c r="AN103" s="34">
        <v>465.90980100000002</v>
      </c>
      <c r="AO103" s="34">
        <v>414.6793098</v>
      </c>
      <c r="AP103" s="34">
        <v>397.48265880000002</v>
      </c>
      <c r="AQ103" s="34">
        <v>395.32947159999998</v>
      </c>
      <c r="AR103" s="34">
        <v>389.54263020000002</v>
      </c>
      <c r="AS103" s="34">
        <v>429.78781900000001</v>
      </c>
      <c r="AT103" s="34">
        <v>451.66876660000003</v>
      </c>
      <c r="AU103" s="34">
        <v>511.61639430000002</v>
      </c>
      <c r="AV103" s="34">
        <v>685.95442290000005</v>
      </c>
      <c r="AW103" s="34">
        <v>825.66655500000002</v>
      </c>
      <c r="AX103" s="34">
        <v>902.0699578</v>
      </c>
      <c r="AY103" s="34">
        <v>1035.3387869999999</v>
      </c>
      <c r="AZ103" s="34">
        <v>1080.296184</v>
      </c>
      <c r="BA103" s="34">
        <v>1085.4871519999999</v>
      </c>
      <c r="BB103" s="34">
        <v>1271.8153830000001</v>
      </c>
      <c r="BC103" s="34">
        <v>1354.8208334251999</v>
      </c>
      <c r="BD103" s="34">
        <v>1462.2200519999999</v>
      </c>
      <c r="BE103" s="34">
        <v>1464.554009</v>
      </c>
      <c r="BF103" s="34">
        <v>1525.2351920000001</v>
      </c>
      <c r="BG103" s="34">
        <v>1633.4912159999999</v>
      </c>
      <c r="BH103" s="34">
        <v>1794.091175</v>
      </c>
      <c r="BI103" s="34">
        <v>1912.6478669999999</v>
      </c>
      <c r="BJ103" s="34">
        <v>1878.5807030000001</v>
      </c>
    </row>
    <row r="104" spans="1:62">
      <c r="A104" s="1" t="s">
        <v>1106</v>
      </c>
      <c r="B104" s="34">
        <v>0</v>
      </c>
      <c r="C104" s="34">
        <v>0</v>
      </c>
      <c r="D104" s="34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0</v>
      </c>
      <c r="AF104" s="34">
        <v>609.17289119999998</v>
      </c>
      <c r="AG104" s="34">
        <v>575.64397450000001</v>
      </c>
      <c r="AH104" s="34">
        <v>513.03594369999996</v>
      </c>
      <c r="AI104" s="34">
        <v>449.06579019999998</v>
      </c>
      <c r="AJ104" s="34">
        <v>372.30781000000002</v>
      </c>
      <c r="AK104" s="34">
        <v>364.22649740000003</v>
      </c>
      <c r="AL104" s="34">
        <v>394.86012149999999</v>
      </c>
      <c r="AM104" s="34">
        <v>376.42961330000003</v>
      </c>
      <c r="AN104" s="34">
        <v>345.13813160000001</v>
      </c>
      <c r="AO104" s="34">
        <v>258.04922879999998</v>
      </c>
      <c r="AP104" s="34">
        <v>279.61956930000002</v>
      </c>
      <c r="AQ104" s="34">
        <v>308.40961160000001</v>
      </c>
      <c r="AR104" s="34">
        <v>321.72703319999999</v>
      </c>
      <c r="AS104" s="34">
        <v>380.50643239999999</v>
      </c>
      <c r="AT104" s="34">
        <v>433.23497659999998</v>
      </c>
      <c r="AU104" s="34">
        <v>476.55212999999998</v>
      </c>
      <c r="AV104" s="34">
        <v>543.11070240000004</v>
      </c>
      <c r="AW104" s="34">
        <v>721.76869079999994</v>
      </c>
      <c r="AX104" s="34">
        <v>966.39362719999997</v>
      </c>
      <c r="AY104" s="34">
        <v>871.22438929999998</v>
      </c>
      <c r="AZ104" s="34">
        <v>880.03777509999998</v>
      </c>
      <c r="BA104" s="34">
        <v>1123.8831680000001</v>
      </c>
      <c r="BB104" s="34">
        <v>1177.974735</v>
      </c>
      <c r="BC104" s="34">
        <v>1282.43716202467</v>
      </c>
      <c r="BD104" s="34">
        <v>1279.769783</v>
      </c>
      <c r="BE104" s="34">
        <v>1121.0828349999999</v>
      </c>
      <c r="BF104" s="34">
        <v>1120.6665129999999</v>
      </c>
      <c r="BG104" s="34">
        <v>1242.7696430000001</v>
      </c>
      <c r="BH104" s="34">
        <v>1308.140165</v>
      </c>
      <c r="BI104" s="34">
        <v>1374.032105</v>
      </c>
      <c r="BJ104" s="34">
        <v>1173.611304</v>
      </c>
    </row>
    <row r="105" spans="1:62">
      <c r="A105" s="1" t="s">
        <v>1020</v>
      </c>
      <c r="B105" s="34">
        <v>111.34244080000001</v>
      </c>
      <c r="C105" s="34">
        <v>109.46035019999999</v>
      </c>
      <c r="D105" s="34">
        <v>109.48117019999999</v>
      </c>
      <c r="E105" s="34">
        <v>117.8234502</v>
      </c>
      <c r="F105" s="34">
        <v>123.6459254</v>
      </c>
      <c r="G105" s="34">
        <v>134.3042796</v>
      </c>
      <c r="H105" s="34">
        <v>138.84297549999999</v>
      </c>
      <c r="I105" s="34">
        <v>144.01177849999999</v>
      </c>
      <c r="J105" s="34">
        <v>157.1901393</v>
      </c>
      <c r="K105" s="34">
        <v>142.2652037</v>
      </c>
      <c r="L105" s="34">
        <v>102.6789615</v>
      </c>
      <c r="M105" s="34">
        <v>135.8487853</v>
      </c>
      <c r="N105" s="34">
        <v>69.233298930000004</v>
      </c>
      <c r="O105" s="34">
        <v>94.358594499999995</v>
      </c>
      <c r="P105" s="34">
        <v>78.112035109999994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254.11663480000001</v>
      </c>
      <c r="AJ105" s="34">
        <v>270.54294010000001</v>
      </c>
      <c r="AK105" s="34">
        <v>322.93157539999999</v>
      </c>
      <c r="AL105" s="34">
        <v>319.28631360000003</v>
      </c>
      <c r="AM105" s="34">
        <v>304.76476880000001</v>
      </c>
      <c r="AN105" s="34">
        <v>268.99037220000002</v>
      </c>
      <c r="AO105" s="34">
        <v>295.9031784</v>
      </c>
      <c r="AP105" s="34">
        <v>300.61367899999999</v>
      </c>
      <c r="AQ105" s="34">
        <v>321.1502236</v>
      </c>
      <c r="AR105" s="34">
        <v>338.98747730000002</v>
      </c>
      <c r="AS105" s="34">
        <v>362.3354822</v>
      </c>
      <c r="AT105" s="34">
        <v>408.51363880000002</v>
      </c>
      <c r="AU105" s="34">
        <v>474.11119209999998</v>
      </c>
      <c r="AV105" s="34">
        <v>539.7503289</v>
      </c>
      <c r="AW105" s="34">
        <v>631.52525760000003</v>
      </c>
      <c r="AX105" s="34">
        <v>745.60912699999994</v>
      </c>
      <c r="AY105" s="34">
        <v>738.05473119999999</v>
      </c>
      <c r="AZ105" s="34">
        <v>785.50266710000005</v>
      </c>
      <c r="BA105" s="34">
        <v>882.27561400000002</v>
      </c>
      <c r="BB105" s="34">
        <v>950.88034600000003</v>
      </c>
      <c r="BC105" s="34">
        <v>1013.4205355013499</v>
      </c>
      <c r="BD105" s="34">
        <v>1093.4959759999999</v>
      </c>
      <c r="BE105" s="34">
        <v>1162.9049950000001</v>
      </c>
      <c r="BF105" s="34">
        <v>1269.5914990000001</v>
      </c>
      <c r="BG105" s="34">
        <v>1385.2600660000001</v>
      </c>
      <c r="BH105" s="34">
        <v>1512.1269890000001</v>
      </c>
      <c r="BI105" s="34">
        <v>1643.1213889999999</v>
      </c>
      <c r="BJ105" s="34">
        <v>1543.6692579999999</v>
      </c>
    </row>
    <row r="106" spans="1:62">
      <c r="A106" s="1" t="s">
        <v>1102</v>
      </c>
      <c r="B106" s="34">
        <v>0</v>
      </c>
      <c r="C106" s="34">
        <v>0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279.52132390000003</v>
      </c>
      <c r="M106" s="34">
        <v>293.9385613</v>
      </c>
      <c r="N106" s="34">
        <v>358.81623769999999</v>
      </c>
      <c r="O106" s="34">
        <v>592.08069239999998</v>
      </c>
      <c r="P106" s="34">
        <v>1576.1249749999999</v>
      </c>
      <c r="Q106" s="34">
        <v>999.41606469999999</v>
      </c>
      <c r="R106" s="34">
        <v>735.12423550000005</v>
      </c>
      <c r="S106" s="34">
        <v>682.67692239999997</v>
      </c>
      <c r="T106" s="34">
        <v>784.71918359999995</v>
      </c>
      <c r="U106" s="34">
        <v>728.93611039999996</v>
      </c>
      <c r="V106" s="34">
        <v>652.92017239999996</v>
      </c>
      <c r="W106" s="34">
        <v>688.33796519999999</v>
      </c>
      <c r="X106" s="34">
        <v>666.35022470000001</v>
      </c>
      <c r="Y106" s="34">
        <v>612.89746400000001</v>
      </c>
      <c r="Z106" s="34">
        <v>657.36171160000004</v>
      </c>
      <c r="AA106" s="34">
        <v>502.04173220000001</v>
      </c>
      <c r="AB106" s="34">
        <v>489.82598769999998</v>
      </c>
      <c r="AC106" s="34">
        <v>499.80278199999998</v>
      </c>
      <c r="AD106" s="34">
        <v>621.99990149999996</v>
      </c>
      <c r="AE106" s="34">
        <v>580.38534979999997</v>
      </c>
      <c r="AF106" s="34">
        <v>549.90107850000004</v>
      </c>
      <c r="AG106" s="34">
        <v>644.78083489999995</v>
      </c>
      <c r="AH106" s="34">
        <v>638.48964579999995</v>
      </c>
      <c r="AI106" s="34">
        <v>619.72004919999995</v>
      </c>
      <c r="AJ106" s="34">
        <v>715.19509919999996</v>
      </c>
      <c r="AK106" s="34">
        <v>724.92187149999995</v>
      </c>
      <c r="AL106" s="34">
        <v>842.99118920000001</v>
      </c>
      <c r="AM106" s="34">
        <v>842.2392327</v>
      </c>
      <c r="AN106" s="34">
        <v>801.08439469999996</v>
      </c>
      <c r="AO106" s="34">
        <v>832.02470879999998</v>
      </c>
      <c r="AP106" s="34">
        <v>796.80320359999996</v>
      </c>
      <c r="AQ106" s="34">
        <v>735.06910640000001</v>
      </c>
      <c r="AR106" s="34">
        <v>826.91686530000004</v>
      </c>
      <c r="AS106" s="34">
        <v>1015.667006</v>
      </c>
      <c r="AT106" s="34">
        <v>1131.1525039999999</v>
      </c>
      <c r="AU106" s="34">
        <v>1214.6356029999999</v>
      </c>
      <c r="AV106" s="34">
        <v>1168.4733020000001</v>
      </c>
      <c r="AW106" s="34">
        <v>1374.395199</v>
      </c>
      <c r="AX106" s="34">
        <v>1428.1349769999999</v>
      </c>
      <c r="AY106" s="34">
        <v>1312.023443</v>
      </c>
      <c r="AZ106" s="34">
        <v>1516.76323</v>
      </c>
      <c r="BA106" s="34">
        <v>1734.9038390000001</v>
      </c>
      <c r="BB106" s="34">
        <v>1788.6914389999999</v>
      </c>
      <c r="BC106" s="34">
        <v>1715.81432071566</v>
      </c>
      <c r="BD106" s="34">
        <v>1642.820129</v>
      </c>
      <c r="BE106" s="34">
        <v>1542.6164650000001</v>
      </c>
      <c r="BF106" s="34">
        <v>1584.7380149999999</v>
      </c>
      <c r="BG106" s="34">
        <v>1640.571205</v>
      </c>
      <c r="BH106" s="34">
        <v>1727.8450009999999</v>
      </c>
      <c r="BI106" s="34">
        <v>1601.8618690000001</v>
      </c>
      <c r="BJ106" s="34">
        <v>1653.540297</v>
      </c>
    </row>
    <row r="107" spans="1:62">
      <c r="A107" s="1" t="s">
        <v>1150</v>
      </c>
      <c r="B107" s="34">
        <v>241.5391631</v>
      </c>
      <c r="C107" s="34">
        <v>243.83212180000001</v>
      </c>
      <c r="D107" s="34">
        <v>246.10117840000001</v>
      </c>
      <c r="E107" s="34">
        <v>253.97744639999999</v>
      </c>
      <c r="F107" s="34">
        <v>268.71805119999999</v>
      </c>
      <c r="G107" s="34">
        <v>276.2489041</v>
      </c>
      <c r="H107" s="34">
        <v>299.25085689999997</v>
      </c>
      <c r="I107" s="34">
        <v>353.30333109999998</v>
      </c>
      <c r="J107" s="34">
        <v>314.66195390000001</v>
      </c>
      <c r="K107" s="34">
        <v>348.1297634</v>
      </c>
      <c r="L107" s="34">
        <v>363.20691649999998</v>
      </c>
      <c r="M107" s="34">
        <v>441.11457780000001</v>
      </c>
      <c r="N107" s="34">
        <v>517.73205280000002</v>
      </c>
      <c r="O107" s="34">
        <v>546.13620390000006</v>
      </c>
      <c r="P107" s="34">
        <v>711.04319090000001</v>
      </c>
      <c r="Q107" s="34">
        <v>753.63229430000001</v>
      </c>
      <c r="R107" s="34">
        <v>681.82152910000002</v>
      </c>
      <c r="S107" s="34">
        <v>1012.568184</v>
      </c>
      <c r="T107" s="34">
        <v>1131.1199079999999</v>
      </c>
      <c r="U107" s="34">
        <v>1354.154947</v>
      </c>
      <c r="V107" s="34">
        <v>1584.6683929999999</v>
      </c>
      <c r="W107" s="34">
        <v>1882.7569980000001</v>
      </c>
      <c r="X107" s="34">
        <v>2013.016222</v>
      </c>
      <c r="Y107" s="34">
        <v>2045.2026760000001</v>
      </c>
      <c r="Z107" s="34">
        <v>2336.6914000000002</v>
      </c>
      <c r="AA107" s="34">
        <v>2650.9864689999999</v>
      </c>
      <c r="AB107" s="34">
        <v>3150.634904</v>
      </c>
      <c r="AC107" s="34">
        <v>3600.0133559999999</v>
      </c>
      <c r="AD107" s="34">
        <v>4250.0576520000004</v>
      </c>
      <c r="AE107" s="34">
        <v>4770.7418969999999</v>
      </c>
      <c r="AF107" s="34">
        <v>5396.4048499999999</v>
      </c>
      <c r="AG107" s="34">
        <v>5461.4977520000002</v>
      </c>
      <c r="AH107" s="34">
        <v>5950.6288130000003</v>
      </c>
      <c r="AI107" s="34">
        <v>6411.0146949999998</v>
      </c>
      <c r="AJ107" s="34">
        <v>7092.105802</v>
      </c>
      <c r="AK107" s="34">
        <v>7450.2741450000003</v>
      </c>
      <c r="AL107" s="34">
        <v>7862.6964690000004</v>
      </c>
      <c r="AM107" s="34">
        <v>8741.6596580000005</v>
      </c>
      <c r="AN107" s="34">
        <v>8866.5663710000008</v>
      </c>
      <c r="AO107" s="34">
        <v>9320.8813069999997</v>
      </c>
      <c r="AP107" s="34">
        <v>9565.9499090000008</v>
      </c>
      <c r="AQ107" s="34">
        <v>10283.032800000001</v>
      </c>
      <c r="AR107" s="34">
        <v>10650.845149999999</v>
      </c>
      <c r="AS107" s="34">
        <v>10270.604160000001</v>
      </c>
      <c r="AT107" s="34">
        <v>10942.728230000001</v>
      </c>
      <c r="AU107" s="34">
        <v>11679.40971</v>
      </c>
      <c r="AV107" s="34">
        <v>13614.41512</v>
      </c>
      <c r="AW107" s="34">
        <v>14429.55024</v>
      </c>
      <c r="AX107" s="34">
        <v>15592.87088</v>
      </c>
      <c r="AY107" s="34">
        <v>15388.443439999999</v>
      </c>
      <c r="AZ107" s="34">
        <v>15510.19915</v>
      </c>
      <c r="BA107" s="34">
        <v>16539.76901</v>
      </c>
      <c r="BB107" s="34">
        <v>16046.486940000001</v>
      </c>
      <c r="BC107" s="34">
        <v>16685.9475912091</v>
      </c>
      <c r="BD107" s="34">
        <v>18051.179029999999</v>
      </c>
      <c r="BE107" s="34">
        <v>18028.973429999998</v>
      </c>
      <c r="BF107" s="34">
        <v>19541.127830000001</v>
      </c>
      <c r="BG107" s="34">
        <v>20384.747879999999</v>
      </c>
      <c r="BH107" s="34">
        <v>20567.499110000001</v>
      </c>
      <c r="BI107" s="34">
        <v>22046.689910000001</v>
      </c>
      <c r="BJ107" s="34">
        <v>18437.748920000002</v>
      </c>
    </row>
    <row r="108" spans="1:62">
      <c r="A108" s="1" t="s">
        <v>1103</v>
      </c>
      <c r="B108" s="34">
        <v>158.24930330000001</v>
      </c>
      <c r="C108" s="34">
        <v>93.828649049999996</v>
      </c>
      <c r="D108" s="34">
        <v>106.1485057</v>
      </c>
      <c r="E108" s="34">
        <v>146.31434189999999</v>
      </c>
      <c r="F108" s="34">
        <v>123.60349479999999</v>
      </c>
      <c r="G108" s="34">
        <v>108.72213120000001</v>
      </c>
      <c r="H108" s="34">
        <v>133.47484850000001</v>
      </c>
      <c r="I108" s="34">
        <v>161.159931</v>
      </c>
      <c r="J108" s="34">
        <v>198.431298</v>
      </c>
      <c r="K108" s="34">
        <v>243.42241290000001</v>
      </c>
      <c r="L108" s="34">
        <v>279.30496890000001</v>
      </c>
      <c r="M108" s="34">
        <v>301.17656770000002</v>
      </c>
      <c r="N108" s="34">
        <v>324.19627680000002</v>
      </c>
      <c r="O108" s="34">
        <v>406.8988301</v>
      </c>
      <c r="P108" s="34">
        <v>563.35595780000006</v>
      </c>
      <c r="Q108" s="34">
        <v>617.45606190000001</v>
      </c>
      <c r="R108" s="34">
        <v>834.13420799999994</v>
      </c>
      <c r="S108" s="34">
        <v>1055.8800409999999</v>
      </c>
      <c r="T108" s="34">
        <v>1405.8223740000001</v>
      </c>
      <c r="U108" s="34">
        <v>1783.6223130000001</v>
      </c>
      <c r="V108" s="34">
        <v>1715.4294600000001</v>
      </c>
      <c r="W108" s="34">
        <v>1883.4512790000001</v>
      </c>
      <c r="X108" s="34">
        <v>1992.528225</v>
      </c>
      <c r="Y108" s="34">
        <v>2198.9344719999999</v>
      </c>
      <c r="Z108" s="34">
        <v>2413.2639250000002</v>
      </c>
      <c r="AA108" s="34">
        <v>2482.3999560000002</v>
      </c>
      <c r="AB108" s="34">
        <v>2834.9038479999999</v>
      </c>
      <c r="AC108" s="34">
        <v>3554.595206</v>
      </c>
      <c r="AD108" s="34">
        <v>4748.6296080000002</v>
      </c>
      <c r="AE108" s="34">
        <v>5817.0291809999999</v>
      </c>
      <c r="AF108" s="34">
        <v>6610.0365080000001</v>
      </c>
      <c r="AG108" s="34">
        <v>7636.9824289999997</v>
      </c>
      <c r="AH108" s="34">
        <v>8126.6703900000002</v>
      </c>
      <c r="AI108" s="34">
        <v>8884.9283190000006</v>
      </c>
      <c r="AJ108" s="34">
        <v>10385.33617</v>
      </c>
      <c r="AK108" s="34">
        <v>12564.778130000001</v>
      </c>
      <c r="AL108" s="34">
        <v>13403.049590000001</v>
      </c>
      <c r="AM108" s="34">
        <v>12398.480030000001</v>
      </c>
      <c r="AN108" s="34">
        <v>8281.6999820000001</v>
      </c>
      <c r="AO108" s="34">
        <v>10672.41793</v>
      </c>
      <c r="AP108" s="34">
        <v>12256.993570000001</v>
      </c>
      <c r="AQ108" s="34">
        <v>11561.248369999999</v>
      </c>
      <c r="AR108" s="34">
        <v>13165.06574</v>
      </c>
      <c r="AS108" s="34">
        <v>14672.857470000001</v>
      </c>
      <c r="AT108" s="34">
        <v>16496.12009</v>
      </c>
      <c r="AU108" s="34">
        <v>19402.502629999999</v>
      </c>
      <c r="AV108" s="34">
        <v>21743.477449999998</v>
      </c>
      <c r="AW108" s="34">
        <v>24086.41044</v>
      </c>
      <c r="AX108" s="34">
        <v>21350.42798</v>
      </c>
      <c r="AY108" s="34">
        <v>19143.851610000002</v>
      </c>
      <c r="AZ108" s="34">
        <v>23087.225640000001</v>
      </c>
      <c r="BA108" s="34">
        <v>25096.263879999999</v>
      </c>
      <c r="BB108" s="34">
        <v>25466.76052</v>
      </c>
      <c r="BC108" s="34">
        <v>27182.734310193599</v>
      </c>
      <c r="BD108" s="34">
        <v>29249.575219999999</v>
      </c>
      <c r="BE108" s="34">
        <v>28732.231080000001</v>
      </c>
      <c r="BF108" s="34">
        <v>29288.870439999999</v>
      </c>
      <c r="BG108" s="34">
        <v>31616.843400000002</v>
      </c>
      <c r="BH108" s="34">
        <v>33422.944210000001</v>
      </c>
      <c r="BI108" s="34">
        <v>31936.796350000001</v>
      </c>
      <c r="BJ108" s="34">
        <v>31631.469450000001</v>
      </c>
    </row>
    <row r="109" spans="1:62">
      <c r="A109" s="1" t="s">
        <v>1182</v>
      </c>
      <c r="B109" s="34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4443.4523380000001</v>
      </c>
      <c r="H109" s="34">
        <v>4571.1557419999999</v>
      </c>
      <c r="I109" s="34">
        <v>4230.8477780000003</v>
      </c>
      <c r="J109" s="34">
        <v>4207.7315360000002</v>
      </c>
      <c r="K109" s="34">
        <v>4019.8039159999998</v>
      </c>
      <c r="L109" s="34">
        <v>3860.5790069999998</v>
      </c>
      <c r="M109" s="34">
        <v>4858.7289149999997</v>
      </c>
      <c r="N109" s="34">
        <v>5224.9171550000001</v>
      </c>
      <c r="O109" s="34">
        <v>5971.7989159999997</v>
      </c>
      <c r="P109" s="34">
        <v>13521.66733</v>
      </c>
      <c r="Q109" s="34">
        <v>11768.4683</v>
      </c>
      <c r="R109" s="34">
        <v>12093.26837</v>
      </c>
      <c r="S109" s="34">
        <v>12253.866540000001</v>
      </c>
      <c r="T109" s="34">
        <v>12663.48935</v>
      </c>
      <c r="U109" s="34">
        <v>19093.016490000002</v>
      </c>
      <c r="V109" s="34">
        <v>20924.212009999999</v>
      </c>
      <c r="W109" s="34">
        <v>17408.518220000002</v>
      </c>
      <c r="X109" s="34">
        <v>14312.458559999999</v>
      </c>
      <c r="Y109" s="34">
        <v>13233.83966</v>
      </c>
      <c r="Z109" s="34">
        <v>13132.76511</v>
      </c>
      <c r="AA109" s="34">
        <v>12356.87866</v>
      </c>
      <c r="AB109" s="34">
        <v>9771.1412710000004</v>
      </c>
      <c r="AC109" s="34">
        <v>11535.17454</v>
      </c>
      <c r="AD109" s="34">
        <v>10169.04084</v>
      </c>
      <c r="AE109" s="34">
        <v>11617.106460000001</v>
      </c>
      <c r="AF109" s="34">
        <v>8794.6060460000008</v>
      </c>
      <c r="AG109" s="34">
        <v>5419.5881630000003</v>
      </c>
      <c r="AH109" s="34">
        <v>0</v>
      </c>
      <c r="AI109" s="34">
        <v>0</v>
      </c>
      <c r="AJ109" s="34">
        <v>0</v>
      </c>
      <c r="AK109" s="34">
        <v>16932.085040000002</v>
      </c>
      <c r="AL109" s="34">
        <v>19358.37054</v>
      </c>
      <c r="AM109" s="34">
        <v>17748.849419999999</v>
      </c>
      <c r="AN109" s="34">
        <v>14166.164129999999</v>
      </c>
      <c r="AO109" s="34">
        <v>15435.13113</v>
      </c>
      <c r="AP109" s="34">
        <v>18440.378519999998</v>
      </c>
      <c r="AQ109" s="34">
        <v>16587.248650000001</v>
      </c>
      <c r="AR109" s="34">
        <v>17846.37616</v>
      </c>
      <c r="AS109" s="34">
        <v>22148.37815</v>
      </c>
      <c r="AT109" s="34">
        <v>27011.653999999999</v>
      </c>
      <c r="AU109" s="34">
        <v>35591.037129999997</v>
      </c>
      <c r="AV109" s="34">
        <v>42781.564749999998</v>
      </c>
      <c r="AW109" s="34">
        <v>45782.148569999998</v>
      </c>
      <c r="AX109" s="34">
        <v>55494.930099999998</v>
      </c>
      <c r="AY109" s="34">
        <v>37561.725930000001</v>
      </c>
      <c r="AZ109" s="34">
        <v>38577.49828</v>
      </c>
      <c r="BA109" s="34">
        <v>48631.7834</v>
      </c>
      <c r="BB109" s="34">
        <v>51979.120690000003</v>
      </c>
      <c r="BC109" s="34">
        <v>49388.053379968696</v>
      </c>
      <c r="BD109" s="34">
        <v>44062.340909999999</v>
      </c>
      <c r="BE109" s="34">
        <v>29869.552749999999</v>
      </c>
      <c r="BF109" s="34">
        <v>27653.157620000002</v>
      </c>
      <c r="BG109" s="34">
        <v>29759.46747</v>
      </c>
      <c r="BH109" s="34">
        <v>33399.060440000001</v>
      </c>
      <c r="BI109" s="34">
        <v>32373.251120000001</v>
      </c>
      <c r="BJ109" s="34">
        <v>24811.76971</v>
      </c>
    </row>
    <row r="110" spans="1:62">
      <c r="A110" s="1" t="s">
        <v>1107</v>
      </c>
      <c r="B110" s="34">
        <v>0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489.95774369999998</v>
      </c>
      <c r="AA110" s="34">
        <v>641.74019759999999</v>
      </c>
      <c r="AB110" s="34">
        <v>468.30429809999998</v>
      </c>
      <c r="AC110" s="34">
        <v>278.39322800000002</v>
      </c>
      <c r="AD110" s="34">
        <v>148.96506590000001</v>
      </c>
      <c r="AE110" s="34">
        <v>172.52320900000001</v>
      </c>
      <c r="AF110" s="34">
        <v>203.25601750000001</v>
      </c>
      <c r="AG110" s="34">
        <v>234.76433829999999</v>
      </c>
      <c r="AH110" s="34">
        <v>250.60449679999999</v>
      </c>
      <c r="AI110" s="34">
        <v>287.39484290000001</v>
      </c>
      <c r="AJ110" s="34">
        <v>325.94161179999998</v>
      </c>
      <c r="AK110" s="34">
        <v>363.88005240000001</v>
      </c>
      <c r="AL110" s="34">
        <v>378.42860580000001</v>
      </c>
      <c r="AM110" s="34">
        <v>345.92184420000001</v>
      </c>
      <c r="AN110" s="34">
        <v>248.83909149999999</v>
      </c>
      <c r="AO110" s="34">
        <v>277.81021299999998</v>
      </c>
      <c r="AP110" s="34">
        <v>325.18693710000002</v>
      </c>
      <c r="AQ110" s="34">
        <v>326.94178670000002</v>
      </c>
      <c r="AR110" s="34">
        <v>320.0614597</v>
      </c>
      <c r="AS110" s="34">
        <v>362.82141350000001</v>
      </c>
      <c r="AT110" s="34">
        <v>417.9291685</v>
      </c>
      <c r="AU110" s="34">
        <v>475.61079619999998</v>
      </c>
      <c r="AV110" s="34">
        <v>591.00019199999997</v>
      </c>
      <c r="AW110" s="34">
        <v>710.37640669999996</v>
      </c>
      <c r="AX110" s="34">
        <v>900.73876389999998</v>
      </c>
      <c r="AY110" s="34">
        <v>949.17838110000002</v>
      </c>
      <c r="AZ110" s="34">
        <v>1141.2357030000001</v>
      </c>
      <c r="BA110" s="34">
        <v>1378.4984919999999</v>
      </c>
      <c r="BB110" s="34">
        <v>1581.62871</v>
      </c>
      <c r="BC110" s="34">
        <v>1831.9369158116799</v>
      </c>
      <c r="BD110" s="34">
        <v>1999.9582029999999</v>
      </c>
      <c r="BE110" s="34">
        <v>2140.0443230000001</v>
      </c>
      <c r="BF110" s="34">
        <v>2324.4009169999999</v>
      </c>
      <c r="BG110" s="34">
        <v>2455.2115589999999</v>
      </c>
      <c r="BH110" s="34">
        <v>2569.0938919999999</v>
      </c>
      <c r="BI110" s="34">
        <v>2635.8000149999998</v>
      </c>
      <c r="BJ110" s="34">
        <v>2629.7145829999999</v>
      </c>
    </row>
    <row r="111" spans="1:62">
      <c r="A111" s="1" t="s">
        <v>1057</v>
      </c>
      <c r="B111" s="34">
        <v>0</v>
      </c>
      <c r="C111" s="34">
        <v>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1234.239313</v>
      </c>
      <c r="AE111" s="34">
        <v>996.90463810000006</v>
      </c>
      <c r="AF111" s="34">
        <v>1012.648216</v>
      </c>
      <c r="AG111" s="34">
        <v>1605.3719040000001</v>
      </c>
      <c r="AH111" s="34">
        <v>1899.65101</v>
      </c>
      <c r="AI111" s="34">
        <v>2446.527693</v>
      </c>
      <c r="AJ111" s="34">
        <v>2820.486187</v>
      </c>
      <c r="AK111" s="34">
        <v>3321.2972669999999</v>
      </c>
      <c r="AL111" s="34">
        <v>3791.6076170000001</v>
      </c>
      <c r="AM111" s="34">
        <v>4305.6417689999998</v>
      </c>
      <c r="AN111" s="34">
        <v>4669.5853880000004</v>
      </c>
      <c r="AO111" s="34">
        <v>4640.3844129999998</v>
      </c>
      <c r="AP111" s="34">
        <v>4491.6419340000002</v>
      </c>
      <c r="AQ111" s="34">
        <v>4422.3892919999998</v>
      </c>
      <c r="AR111" s="34">
        <v>4579.4595929999996</v>
      </c>
      <c r="AS111" s="34">
        <v>4576.3876170000003</v>
      </c>
      <c r="AT111" s="34">
        <v>4630.7905849999997</v>
      </c>
      <c r="AU111" s="34">
        <v>4575.1074589999998</v>
      </c>
      <c r="AV111" s="34">
        <v>4626.8530030000002</v>
      </c>
      <c r="AW111" s="34">
        <v>5207.7927229999996</v>
      </c>
      <c r="AX111" s="34">
        <v>6111.3272809999999</v>
      </c>
      <c r="AY111" s="34">
        <v>7354.9536049999997</v>
      </c>
      <c r="AZ111" s="34">
        <v>7761.6414889999996</v>
      </c>
      <c r="BA111" s="34">
        <v>7675.3089399999999</v>
      </c>
      <c r="BB111" s="34">
        <v>7952.1512659999999</v>
      </c>
      <c r="BC111" s="34">
        <v>7933.2333196140398</v>
      </c>
      <c r="BD111" s="34">
        <v>7687.7593360000001</v>
      </c>
      <c r="BE111" s="34">
        <v>7663.9202320000004</v>
      </c>
      <c r="BF111" s="34">
        <v>7653.7336299999997</v>
      </c>
      <c r="BG111" s="34">
        <v>7819.6046699999997</v>
      </c>
      <c r="BH111" s="34">
        <v>8058.4443369999999</v>
      </c>
      <c r="BI111" s="34">
        <v>7578.1723679999996</v>
      </c>
      <c r="BJ111" s="34">
        <v>4649.547646</v>
      </c>
    </row>
    <row r="112" spans="1:62">
      <c r="A112" s="1" t="s">
        <v>1113</v>
      </c>
      <c r="B112" s="34">
        <v>0</v>
      </c>
      <c r="C112" s="34">
        <v>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0</v>
      </c>
      <c r="AI112" s="34">
        <v>0</v>
      </c>
      <c r="AJ112" s="34">
        <v>0</v>
      </c>
      <c r="AK112" s="34">
        <v>0</v>
      </c>
      <c r="AL112" s="34">
        <v>0</v>
      </c>
      <c r="AM112" s="34">
        <v>0</v>
      </c>
      <c r="AN112" s="34">
        <v>0</v>
      </c>
      <c r="AO112" s="34">
        <v>0</v>
      </c>
      <c r="AP112" s="34">
        <v>306.83386419999999</v>
      </c>
      <c r="AQ112" s="34">
        <v>306.71025159999999</v>
      </c>
      <c r="AR112" s="34">
        <v>306.47393959999999</v>
      </c>
      <c r="AS112" s="34">
        <v>243.08957749999999</v>
      </c>
      <c r="AT112" s="34">
        <v>286.06472530000002</v>
      </c>
      <c r="AU112" s="34">
        <v>294.89322010000001</v>
      </c>
      <c r="AV112" s="34">
        <v>336.11567430000002</v>
      </c>
      <c r="AW112" s="34">
        <v>396.60176130000002</v>
      </c>
      <c r="AX112" s="34">
        <v>478.39954010000002</v>
      </c>
      <c r="AY112" s="34">
        <v>470.94812139999999</v>
      </c>
      <c r="AZ112" s="34">
        <v>513.44556669999997</v>
      </c>
      <c r="BA112" s="34">
        <v>596.89663529999996</v>
      </c>
      <c r="BB112" s="34">
        <v>675.01019180000003</v>
      </c>
      <c r="BC112" s="34">
        <v>747.86866013689598</v>
      </c>
      <c r="BD112" s="34">
        <v>739.91193499999997</v>
      </c>
      <c r="BE112" s="34">
        <v>721.58105049999995</v>
      </c>
      <c r="BF112" s="34">
        <v>740.91490599999997</v>
      </c>
      <c r="BG112" s="34">
        <v>721.08504400000004</v>
      </c>
      <c r="BH112" s="34">
        <v>710.26599839999994</v>
      </c>
      <c r="BI112" s="34">
        <v>672.34049919999995</v>
      </c>
      <c r="BJ112" s="34">
        <v>632.93638559999999</v>
      </c>
    </row>
    <row r="113" spans="1:62">
      <c r="A113" s="1" t="s">
        <v>1115</v>
      </c>
      <c r="B113" s="34">
        <v>0</v>
      </c>
      <c r="C113" s="34">
        <v>0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4">
        <v>0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0</v>
      </c>
      <c r="AF113" s="34">
        <v>6514.3185670000003</v>
      </c>
      <c r="AG113" s="34">
        <v>7040.7762940000002</v>
      </c>
      <c r="AH113" s="34">
        <v>7284.9171530000003</v>
      </c>
      <c r="AI113" s="34">
        <v>6447.143282</v>
      </c>
      <c r="AJ113" s="34">
        <v>5892.6224670000001</v>
      </c>
      <c r="AK113" s="34">
        <v>5161.6854279999998</v>
      </c>
      <c r="AL113" s="34">
        <v>5536.8660659999996</v>
      </c>
      <c r="AM113" s="34">
        <v>5998.1604379999999</v>
      </c>
      <c r="AN113" s="34">
        <v>5243.5965349999997</v>
      </c>
      <c r="AO113" s="34">
        <v>6819.0395760000001</v>
      </c>
      <c r="AP113" s="34">
        <v>7142.7717860000002</v>
      </c>
      <c r="AQ113" s="34">
        <v>6266.4898210000001</v>
      </c>
      <c r="AR113" s="34">
        <v>3703.0429519999998</v>
      </c>
      <c r="AS113" s="34">
        <v>4673.1455759999999</v>
      </c>
      <c r="AT113" s="34">
        <v>5800.5888260000002</v>
      </c>
      <c r="AU113" s="34">
        <v>8163.0093699999998</v>
      </c>
      <c r="AV113" s="34">
        <v>9336.3534980000004</v>
      </c>
      <c r="AW113" s="34">
        <v>11300.193230000001</v>
      </c>
      <c r="AX113" s="34">
        <v>14382.595289999999</v>
      </c>
      <c r="AY113" s="34">
        <v>10275.26154</v>
      </c>
      <c r="AZ113" s="34">
        <v>12064.77291</v>
      </c>
      <c r="BA113" s="34">
        <v>5554.180053</v>
      </c>
      <c r="BB113" s="34">
        <v>13025.27932</v>
      </c>
      <c r="BC113" s="34">
        <v>10363.804247198799</v>
      </c>
      <c r="BD113" s="34">
        <v>6466.9082369999996</v>
      </c>
      <c r="BE113" s="34">
        <v>4337.9191389999996</v>
      </c>
      <c r="BF113" s="34">
        <v>4035.1968019999999</v>
      </c>
      <c r="BG113" s="34">
        <v>5756.6993249999996</v>
      </c>
      <c r="BH113" s="34">
        <v>7877.1246099999998</v>
      </c>
      <c r="BI113" s="34">
        <v>7685.9481320000004</v>
      </c>
      <c r="BJ113" s="34">
        <v>3699.2947650000001</v>
      </c>
    </row>
    <row r="114" spans="1:62">
      <c r="A114" s="1" t="s">
        <v>1151</v>
      </c>
      <c r="B114" s="34">
        <v>0</v>
      </c>
      <c r="C114" s="34">
        <v>0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1445.924317</v>
      </c>
      <c r="W114" s="34">
        <v>1628.035705</v>
      </c>
      <c r="X114" s="34">
        <v>1515.314318</v>
      </c>
      <c r="Y114" s="34">
        <v>1607.533895</v>
      </c>
      <c r="Z114" s="34">
        <v>2023.2467779999999</v>
      </c>
      <c r="AA114" s="34">
        <v>2253.0966880000001</v>
      </c>
      <c r="AB114" s="34">
        <v>2646.9855510000002</v>
      </c>
      <c r="AC114" s="34">
        <v>2869.7279360000002</v>
      </c>
      <c r="AD114" s="34">
        <v>3221.4812820000002</v>
      </c>
      <c r="AE114" s="34">
        <v>3584.0446189999998</v>
      </c>
      <c r="AF114" s="34">
        <v>4199.6364970000004</v>
      </c>
      <c r="AG114" s="34">
        <v>4383.5665719999997</v>
      </c>
      <c r="AH114" s="34">
        <v>4755.1042909999996</v>
      </c>
      <c r="AI114" s="34">
        <v>4775.4899850000002</v>
      </c>
      <c r="AJ114" s="34">
        <v>4919.3803669999998</v>
      </c>
      <c r="AK114" s="34">
        <v>5194.7829250000004</v>
      </c>
      <c r="AL114" s="34">
        <v>5300.3546759999999</v>
      </c>
      <c r="AM114" s="34">
        <v>5340.0869730000004</v>
      </c>
      <c r="AN114" s="34">
        <v>5733.8269890000001</v>
      </c>
      <c r="AO114" s="34">
        <v>5947.8917840000004</v>
      </c>
      <c r="AP114" s="34">
        <v>5950.0474850000001</v>
      </c>
      <c r="AQ114" s="34">
        <v>5642.748904</v>
      </c>
      <c r="AR114" s="34">
        <v>5646.4565350000003</v>
      </c>
      <c r="AS114" s="34">
        <v>6150.9213689999997</v>
      </c>
      <c r="AT114" s="34">
        <v>6591.645501</v>
      </c>
      <c r="AU114" s="34">
        <v>6949.2041730000001</v>
      </c>
      <c r="AV114" s="34">
        <v>7669.2134699999997</v>
      </c>
      <c r="AW114" s="34">
        <v>7969.7979930000001</v>
      </c>
      <c r="AX114" s="34">
        <v>8456.6946320000006</v>
      </c>
      <c r="AY114" s="34">
        <v>8137.7509909999999</v>
      </c>
      <c r="AZ114" s="34">
        <v>8540.0709800000004</v>
      </c>
      <c r="BA114" s="34">
        <v>8983.7437329999993</v>
      </c>
      <c r="BB114" s="34">
        <v>9086.3879550000001</v>
      </c>
      <c r="BC114" s="34">
        <v>9378.9850468479199</v>
      </c>
      <c r="BD114" s="34">
        <v>9843.3085339999998</v>
      </c>
      <c r="BE114" s="34">
        <v>10093.61802</v>
      </c>
      <c r="BF114" s="34">
        <v>10362.35166</v>
      </c>
      <c r="BG114" s="34">
        <v>11034.629849999999</v>
      </c>
      <c r="BH114" s="34">
        <v>11353.71521</v>
      </c>
      <c r="BI114" s="34">
        <v>11591.080480000001</v>
      </c>
      <c r="BJ114" s="34">
        <v>8804.5610479999996</v>
      </c>
    </row>
    <row r="115" spans="1:62">
      <c r="A115" s="1" t="s">
        <v>1183</v>
      </c>
      <c r="B115" s="34">
        <v>0</v>
      </c>
      <c r="C115" s="34">
        <v>396.4543941</v>
      </c>
      <c r="D115" s="34">
        <v>422.65182490000001</v>
      </c>
      <c r="E115" s="34">
        <v>419.32144590000001</v>
      </c>
      <c r="F115" s="34">
        <v>452.49003829999998</v>
      </c>
      <c r="G115" s="34">
        <v>473.64578640000002</v>
      </c>
      <c r="H115" s="34">
        <v>507.99765480000002</v>
      </c>
      <c r="I115" s="34">
        <v>505.14233150000001</v>
      </c>
      <c r="J115" s="34">
        <v>528.59836610000002</v>
      </c>
      <c r="K115" s="34">
        <v>576.02697720000003</v>
      </c>
      <c r="L115" s="34">
        <v>612.95723969999995</v>
      </c>
      <c r="M115" s="34">
        <v>667.26059720000001</v>
      </c>
      <c r="N115" s="34">
        <v>732.68911760000003</v>
      </c>
      <c r="O115" s="34">
        <v>951.72424939999996</v>
      </c>
      <c r="P115" s="34">
        <v>1205.2080619999999</v>
      </c>
      <c r="Q115" s="34">
        <v>1235.047206</v>
      </c>
      <c r="R115" s="34">
        <v>1323.8402410000001</v>
      </c>
      <c r="S115" s="34">
        <v>1421.3072480000001</v>
      </c>
      <c r="T115" s="34">
        <v>1575.6787859999999</v>
      </c>
      <c r="U115" s="34">
        <v>1828.523003</v>
      </c>
      <c r="V115" s="34">
        <v>2173.1912430000002</v>
      </c>
      <c r="W115" s="34">
        <v>2428.9029810000002</v>
      </c>
      <c r="X115" s="34">
        <v>2203.1959700000002</v>
      </c>
      <c r="Y115" s="34">
        <v>1888.9310479999999</v>
      </c>
      <c r="Z115" s="34">
        <v>1849.801712</v>
      </c>
      <c r="AA115" s="34">
        <v>1889.493324</v>
      </c>
      <c r="AB115" s="34">
        <v>1866.3677170000001</v>
      </c>
      <c r="AC115" s="34">
        <v>1934.6699510000001</v>
      </c>
      <c r="AD115" s="34">
        <v>2116.7477720000002</v>
      </c>
      <c r="AE115" s="34">
        <v>2141.130756</v>
      </c>
      <c r="AF115" s="34">
        <v>2506.9495350000002</v>
      </c>
      <c r="AG115" s="34">
        <v>2643.1228000000001</v>
      </c>
      <c r="AH115" s="34">
        <v>2835.0898670000001</v>
      </c>
      <c r="AI115" s="34">
        <v>3233.1013600000001</v>
      </c>
      <c r="AJ115" s="34">
        <v>3731.391572</v>
      </c>
      <c r="AK115" s="34">
        <v>3985.9842410000001</v>
      </c>
      <c r="AL115" s="34">
        <v>4243.1099050000003</v>
      </c>
      <c r="AM115" s="34">
        <v>4578.0027550000004</v>
      </c>
      <c r="AN115" s="34">
        <v>4548.2523929999998</v>
      </c>
      <c r="AO115" s="34">
        <v>4042.7965300000001</v>
      </c>
      <c r="AP115" s="34">
        <v>4399.8350650000002</v>
      </c>
      <c r="AQ115" s="34">
        <v>4245.0338039999997</v>
      </c>
      <c r="AR115" s="34">
        <v>3759.8109159999999</v>
      </c>
      <c r="AS115" s="34">
        <v>3785.984281</v>
      </c>
      <c r="AT115" s="34">
        <v>4308.3507600000003</v>
      </c>
      <c r="AU115" s="34">
        <v>5145.0399900000002</v>
      </c>
      <c r="AV115" s="34">
        <v>5956.9984860000004</v>
      </c>
      <c r="AW115" s="34">
        <v>6934.9455610000005</v>
      </c>
      <c r="AX115" s="34">
        <v>7965.3002479999996</v>
      </c>
      <c r="AY115" s="34">
        <v>7401.6627740000004</v>
      </c>
      <c r="AZ115" s="34">
        <v>9074.4725089999993</v>
      </c>
      <c r="BA115" s="34">
        <v>10203.753129999999</v>
      </c>
      <c r="BB115" s="34">
        <v>10198.047989999999</v>
      </c>
      <c r="BC115" s="34">
        <v>10340.076073759101</v>
      </c>
      <c r="BD115" s="34">
        <v>10433.36483</v>
      </c>
      <c r="BE115" s="34">
        <v>8630.8556900000003</v>
      </c>
      <c r="BF115" s="34">
        <v>8352.0562229999996</v>
      </c>
      <c r="BG115" s="34">
        <v>9188.2100300000002</v>
      </c>
      <c r="BH115" s="34">
        <v>8905.5813369999996</v>
      </c>
      <c r="BI115" s="34">
        <v>8705.1170980000006</v>
      </c>
      <c r="BJ115" s="34">
        <v>7244.6594189999996</v>
      </c>
    </row>
    <row r="116" spans="1:62">
      <c r="A116" s="1" t="s">
        <v>1184</v>
      </c>
      <c r="B116" s="34">
        <v>0</v>
      </c>
      <c r="C116" s="34">
        <v>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4">
        <v>271.5357257</v>
      </c>
      <c r="W116" s="34">
        <v>268.34863680000001</v>
      </c>
      <c r="X116" s="34">
        <v>261.0859481</v>
      </c>
      <c r="Y116" s="34">
        <v>240.9979955</v>
      </c>
      <c r="Z116" s="34">
        <v>233.56290279999999</v>
      </c>
      <c r="AA116" s="34">
        <v>250.6058645</v>
      </c>
      <c r="AB116" s="34">
        <v>266.55098290000001</v>
      </c>
      <c r="AC116" s="34">
        <v>292.61727230000002</v>
      </c>
      <c r="AD116" s="34">
        <v>299.06023090000002</v>
      </c>
      <c r="AE116" s="34">
        <v>305.14649359999999</v>
      </c>
      <c r="AF116" s="34">
        <v>323.14005609999998</v>
      </c>
      <c r="AG116" s="34">
        <v>329.37924190000001</v>
      </c>
      <c r="AH116" s="34">
        <v>317.7409839</v>
      </c>
      <c r="AI116" s="34">
        <v>340.05471499999999</v>
      </c>
      <c r="AJ116" s="34">
        <v>347.63529310000001</v>
      </c>
      <c r="AK116" s="34">
        <v>416.66805360000001</v>
      </c>
      <c r="AL116" s="34">
        <v>471.99684029999997</v>
      </c>
      <c r="AM116" s="34">
        <v>534.74247130000003</v>
      </c>
      <c r="AN116" s="34">
        <v>623.48353450000002</v>
      </c>
      <c r="AO116" s="34">
        <v>754.71501239999998</v>
      </c>
      <c r="AP116" s="34">
        <v>878.76170860000002</v>
      </c>
      <c r="AQ116" s="34">
        <v>975.75603669999998</v>
      </c>
      <c r="AR116" s="34">
        <v>1312.7326869999999</v>
      </c>
      <c r="AS116" s="34">
        <v>1858.691456</v>
      </c>
      <c r="AT116" s="34">
        <v>2372.839884</v>
      </c>
      <c r="AU116" s="34">
        <v>2966.6106650000002</v>
      </c>
      <c r="AV116" s="34">
        <v>3774.1792989999999</v>
      </c>
      <c r="AW116" s="34">
        <v>5152.467611</v>
      </c>
      <c r="AX116" s="34">
        <v>6865.4781370000001</v>
      </c>
      <c r="AY116" s="34">
        <v>7557.1138979999996</v>
      </c>
      <c r="AZ116" s="34">
        <v>8649.7638100000004</v>
      </c>
      <c r="BA116" s="34">
        <v>10105.77888</v>
      </c>
      <c r="BB116" s="34">
        <v>992.82994410000003</v>
      </c>
      <c r="BC116" s="34">
        <v>994.89036886568499</v>
      </c>
      <c r="BD116" s="34">
        <v>1046.8528209999999</v>
      </c>
      <c r="BE116" s="34">
        <v>1004.001566</v>
      </c>
      <c r="BF116" s="34">
        <v>970.36871259999998</v>
      </c>
      <c r="BG116" s="34">
        <v>1038.4820629999999</v>
      </c>
      <c r="BH116" s="34">
        <v>1051.8914709999999</v>
      </c>
      <c r="BI116" s="34">
        <v>1070.098718</v>
      </c>
      <c r="BJ116" s="34">
        <v>1051.883106</v>
      </c>
    </row>
    <row r="117" spans="1:62">
      <c r="A117" s="1" t="s">
        <v>1185</v>
      </c>
      <c r="B117" s="34">
        <v>0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  <c r="P117" s="34">
        <v>0</v>
      </c>
      <c r="Q117" s="34">
        <v>0</v>
      </c>
      <c r="R117" s="34">
        <v>0</v>
      </c>
      <c r="S117" s="34">
        <v>0</v>
      </c>
      <c r="T117" s="34">
        <v>0</v>
      </c>
      <c r="U117" s="34">
        <v>0</v>
      </c>
      <c r="V117" s="34">
        <v>0</v>
      </c>
      <c r="W117" s="34">
        <v>361.24500119999999</v>
      </c>
      <c r="X117" s="34">
        <v>363.76595470000001</v>
      </c>
      <c r="Y117" s="34">
        <v>342.7269776</v>
      </c>
      <c r="Z117" s="34">
        <v>326.99922459999999</v>
      </c>
      <c r="AA117" s="34">
        <v>348.35596529999998</v>
      </c>
      <c r="AB117" s="34">
        <v>396.23583889999998</v>
      </c>
      <c r="AC117" s="34">
        <v>453.37141120000001</v>
      </c>
      <c r="AD117" s="34">
        <v>366.3572006</v>
      </c>
      <c r="AE117" s="34">
        <v>362.99533780000002</v>
      </c>
      <c r="AF117" s="34">
        <v>380.74606440000002</v>
      </c>
      <c r="AG117" s="34">
        <v>383.43020430000001</v>
      </c>
      <c r="AH117" s="34">
        <v>359.5183538</v>
      </c>
      <c r="AI117" s="34">
        <v>365.76293879999997</v>
      </c>
      <c r="AJ117" s="34">
        <v>350.08105060000003</v>
      </c>
      <c r="AK117" s="34">
        <v>383.71088509999998</v>
      </c>
      <c r="AL117" s="34">
        <v>413.71785299999999</v>
      </c>
      <c r="AM117" s="34">
        <v>432.5516379</v>
      </c>
      <c r="AN117" s="34">
        <v>431.7401089</v>
      </c>
      <c r="AO117" s="34">
        <v>427.22511050000003</v>
      </c>
      <c r="AP117" s="34">
        <v>485.93410899999998</v>
      </c>
      <c r="AQ117" s="34">
        <v>471.88459</v>
      </c>
      <c r="AR117" s="34">
        <v>491.59658680000001</v>
      </c>
      <c r="AS117" s="34">
        <v>521.95457839999995</v>
      </c>
      <c r="AT117" s="34">
        <v>594.90050550000001</v>
      </c>
      <c r="AU117" s="34">
        <v>689.24670760000004</v>
      </c>
      <c r="AV117" s="34">
        <v>776.547325</v>
      </c>
      <c r="AW117" s="34">
        <v>909.07093450000002</v>
      </c>
      <c r="AX117" s="34">
        <v>1058.573584</v>
      </c>
      <c r="AY117" s="34">
        <v>1041.6763860000001</v>
      </c>
      <c r="AZ117" s="34">
        <v>1123.3698240000001</v>
      </c>
      <c r="BA117" s="34">
        <v>764.47381340000004</v>
      </c>
      <c r="BB117" s="34">
        <v>709.07609209999998</v>
      </c>
      <c r="BC117" s="34">
        <v>711.14114893848102</v>
      </c>
      <c r="BD117" s="34">
        <v>742.49053260000005</v>
      </c>
      <c r="BE117" s="34">
        <v>713.64220150000006</v>
      </c>
      <c r="BF117" s="34">
        <v>643.78682719999995</v>
      </c>
      <c r="BG117" s="34">
        <v>663.43601660000002</v>
      </c>
      <c r="BH117" s="34">
        <v>672.48276710000005</v>
      </c>
      <c r="BI117" s="34">
        <v>689.70442330000003</v>
      </c>
      <c r="BJ117" s="34">
        <v>688.03202350000004</v>
      </c>
    </row>
    <row r="118" spans="1:62">
      <c r="A118" s="1" t="s">
        <v>1186</v>
      </c>
      <c r="B118" s="34">
        <v>0</v>
      </c>
      <c r="C118" s="34">
        <v>0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4236.33302</v>
      </c>
      <c r="M118" s="34">
        <v>4827.1263369999997</v>
      </c>
      <c r="N118" s="34">
        <v>5637.9190930000004</v>
      </c>
      <c r="O118" s="34">
        <v>7355.0803070000002</v>
      </c>
      <c r="P118" s="34">
        <v>8439.5788759999996</v>
      </c>
      <c r="Q118" s="34">
        <v>10513.20529</v>
      </c>
      <c r="R118" s="34">
        <v>11385.6967</v>
      </c>
      <c r="S118" s="34">
        <v>12412.427970000001</v>
      </c>
      <c r="T118" s="34">
        <v>17499.125950000001</v>
      </c>
      <c r="U118" s="34">
        <v>19761.248479999998</v>
      </c>
      <c r="V118" s="34">
        <v>20660.017599999999</v>
      </c>
      <c r="W118" s="34">
        <v>19507.365529999999</v>
      </c>
      <c r="X118" s="34">
        <v>19677.018489999999</v>
      </c>
      <c r="Y118" s="34">
        <v>19560.810369999999</v>
      </c>
      <c r="Z118" s="34">
        <v>18596.172689999999</v>
      </c>
      <c r="AA118" s="34">
        <v>19390.126639999999</v>
      </c>
      <c r="AB118" s="34">
        <v>28287.063279999998</v>
      </c>
      <c r="AC118" s="34">
        <v>37824.442159999999</v>
      </c>
      <c r="AD118" s="34">
        <v>41292.257720000001</v>
      </c>
      <c r="AE118" s="34">
        <v>39368.72709</v>
      </c>
      <c r="AF118" s="34">
        <v>49373.610269999997</v>
      </c>
      <c r="AG118" s="34">
        <v>50886.375310000003</v>
      </c>
      <c r="AH118" s="34">
        <v>55197.547010000002</v>
      </c>
      <c r="AI118" s="34">
        <v>55794.32733</v>
      </c>
      <c r="AJ118" s="34">
        <v>64051.232210000002</v>
      </c>
      <c r="AK118" s="34">
        <v>78631.699110000001</v>
      </c>
      <c r="AL118" s="34">
        <v>79863.279079999993</v>
      </c>
      <c r="AM118" s="34">
        <v>72208.934670000002</v>
      </c>
      <c r="AN118" s="34">
        <v>76757.300220000005</v>
      </c>
      <c r="AO118" s="34">
        <v>81307.068369999994</v>
      </c>
      <c r="AP118" s="34">
        <v>74853.938729999994</v>
      </c>
      <c r="AQ118" s="34">
        <v>74287.413369999995</v>
      </c>
      <c r="AR118" s="34">
        <v>79345.752470000007</v>
      </c>
      <c r="AS118" s="34">
        <v>89859.86537</v>
      </c>
      <c r="AT118" s="34">
        <v>100289.243</v>
      </c>
      <c r="AU118" s="34">
        <v>105399.2605</v>
      </c>
      <c r="AV118" s="34">
        <v>114374.24649999999</v>
      </c>
      <c r="AW118" s="34">
        <v>130655.637</v>
      </c>
      <c r="AX118" s="34">
        <v>143264.0594</v>
      </c>
      <c r="AY118" s="34">
        <v>126096.61040000001</v>
      </c>
      <c r="AZ118" s="34">
        <v>141192.53469999999</v>
      </c>
      <c r="BA118" s="34">
        <v>158130.45749999999</v>
      </c>
      <c r="BB118" s="34">
        <v>149010.2249</v>
      </c>
      <c r="BC118" s="34">
        <v>173030.208279363</v>
      </c>
      <c r="BD118" s="34">
        <v>178864.85190000001</v>
      </c>
      <c r="BE118" s="34">
        <v>167313.26629999999</v>
      </c>
      <c r="BF118" s="34">
        <v>165642.38630000001</v>
      </c>
      <c r="BG118" s="34">
        <v>171253.96429999999</v>
      </c>
      <c r="BH118" s="34">
        <v>180366.71520000001</v>
      </c>
      <c r="BI118" s="34">
        <v>175813.8756</v>
      </c>
      <c r="BJ118" s="34">
        <v>0</v>
      </c>
    </row>
    <row r="119" spans="1:62">
      <c r="A119" s="1" t="s">
        <v>1096</v>
      </c>
      <c r="B119" s="34">
        <v>142.7796219</v>
      </c>
      <c r="C119" s="34">
        <v>142.83814240000001</v>
      </c>
      <c r="D119" s="34">
        <v>138.536654</v>
      </c>
      <c r="E119" s="34">
        <v>117.0719883</v>
      </c>
      <c r="F119" s="34">
        <v>120.714348</v>
      </c>
      <c r="G119" s="34">
        <v>152.8526755</v>
      </c>
      <c r="H119" s="34">
        <v>153.8987913</v>
      </c>
      <c r="I119" s="34">
        <v>159.5059914</v>
      </c>
      <c r="J119" s="34">
        <v>150.8966192</v>
      </c>
      <c r="K119" s="34">
        <v>160.91318759999999</v>
      </c>
      <c r="L119" s="34">
        <v>183.92753039999999</v>
      </c>
      <c r="M119" s="34">
        <v>185.85974350000001</v>
      </c>
      <c r="N119" s="34">
        <v>196.42288769999999</v>
      </c>
      <c r="O119" s="34">
        <v>216.99500750000001</v>
      </c>
      <c r="P119" s="34">
        <v>264.74631419999997</v>
      </c>
      <c r="Q119" s="34">
        <v>275.62771950000001</v>
      </c>
      <c r="R119" s="34">
        <v>256.28680680000002</v>
      </c>
      <c r="S119" s="34">
        <v>287.56163659999999</v>
      </c>
      <c r="T119" s="34">
        <v>188.05848130000001</v>
      </c>
      <c r="U119" s="34">
        <v>227.5097653</v>
      </c>
      <c r="V119" s="34">
        <v>267.66857720000002</v>
      </c>
      <c r="W119" s="34">
        <v>289.1308598</v>
      </c>
      <c r="X119" s="34">
        <v>307.63824349999999</v>
      </c>
      <c r="Y119" s="34">
        <v>328.65063830000003</v>
      </c>
      <c r="Z119" s="34">
        <v>378.93685699999997</v>
      </c>
      <c r="AA119" s="34">
        <v>369.58189599999997</v>
      </c>
      <c r="AB119" s="34">
        <v>390.35071140000002</v>
      </c>
      <c r="AC119" s="34">
        <v>401.47709589999999</v>
      </c>
      <c r="AD119" s="34">
        <v>413.45507040000001</v>
      </c>
      <c r="AE119" s="34">
        <v>408.45086689999999</v>
      </c>
      <c r="AF119" s="34">
        <v>463.61873880000002</v>
      </c>
      <c r="AG119" s="34">
        <v>513.25844749999999</v>
      </c>
      <c r="AH119" s="34">
        <v>547.05453439999997</v>
      </c>
      <c r="AI119" s="34">
        <v>576.77988389999996</v>
      </c>
      <c r="AJ119" s="34">
        <v>647.57915639999999</v>
      </c>
      <c r="AK119" s="34">
        <v>714.23323149999999</v>
      </c>
      <c r="AL119" s="34">
        <v>756.65699050000001</v>
      </c>
      <c r="AM119" s="34">
        <v>817.06448169999999</v>
      </c>
      <c r="AN119" s="34">
        <v>850.81160390000002</v>
      </c>
      <c r="AO119" s="34">
        <v>838.88346279999996</v>
      </c>
      <c r="AP119" s="34">
        <v>869.69628499999999</v>
      </c>
      <c r="AQ119" s="34">
        <v>832.80357230000004</v>
      </c>
      <c r="AR119" s="34">
        <v>867.49148679999996</v>
      </c>
      <c r="AS119" s="34">
        <v>982.195697</v>
      </c>
      <c r="AT119" s="34">
        <v>1065.784437</v>
      </c>
      <c r="AU119" s="34">
        <v>1248.698185</v>
      </c>
      <c r="AV119" s="34">
        <v>1435.8168129999999</v>
      </c>
      <c r="AW119" s="34">
        <v>1630.3889059999999</v>
      </c>
      <c r="AX119" s="34">
        <v>2037.322103</v>
      </c>
      <c r="AY119" s="34">
        <v>2090.4018259999998</v>
      </c>
      <c r="AZ119" s="34">
        <v>2799.6487379999999</v>
      </c>
      <c r="BA119" s="34">
        <v>3200.861132</v>
      </c>
      <c r="BB119" s="34">
        <v>3350.5218759999998</v>
      </c>
      <c r="BC119" s="34">
        <v>3610.2893630489798</v>
      </c>
      <c r="BD119" s="34">
        <v>3819.25353</v>
      </c>
      <c r="BE119" s="34">
        <v>3843.7806719999999</v>
      </c>
      <c r="BF119" s="34">
        <v>3886.291502</v>
      </c>
      <c r="BG119" s="34">
        <v>4077.0438410000002</v>
      </c>
      <c r="BH119" s="34">
        <v>4059.2082300000002</v>
      </c>
      <c r="BI119" s="34">
        <v>3852.2656029999998</v>
      </c>
      <c r="BJ119" s="34">
        <v>3680.6734769999998</v>
      </c>
    </row>
    <row r="120" spans="1:62">
      <c r="A120" s="1" t="s">
        <v>1059</v>
      </c>
      <c r="B120" s="34">
        <v>41.300364539999997</v>
      </c>
      <c r="C120" s="34">
        <v>41.856748590000002</v>
      </c>
      <c r="D120" s="34">
        <v>48.162031560000003</v>
      </c>
      <c r="E120" s="34">
        <v>53.087833930000002</v>
      </c>
      <c r="F120" s="34">
        <v>57.470051380000001</v>
      </c>
      <c r="G120" s="34">
        <v>59.501773729999996</v>
      </c>
      <c r="H120" s="34">
        <v>60.202788730000002</v>
      </c>
      <c r="I120" s="34">
        <v>61.583817979999999</v>
      </c>
      <c r="J120" s="34">
        <v>62.463996129999998</v>
      </c>
      <c r="K120" s="34">
        <v>65.579042939999994</v>
      </c>
      <c r="L120" s="34">
        <v>66.805929680000006</v>
      </c>
      <c r="M120" s="34">
        <v>72.658866040000007</v>
      </c>
      <c r="N120" s="34">
        <v>75.12364839</v>
      </c>
      <c r="O120" s="34">
        <v>109.876874</v>
      </c>
      <c r="P120" s="34">
        <v>133.4173662</v>
      </c>
      <c r="Q120" s="34">
        <v>128.8431755</v>
      </c>
      <c r="R120" s="34">
        <v>123.7134401</v>
      </c>
      <c r="S120" s="34">
        <v>157.3488151</v>
      </c>
      <c r="T120" s="34">
        <v>210.68370229999999</v>
      </c>
      <c r="U120" s="34">
        <v>222.72910089999999</v>
      </c>
      <c r="V120" s="34">
        <v>321.9987319</v>
      </c>
      <c r="W120" s="34">
        <v>315.12956389999999</v>
      </c>
      <c r="X120" s="34">
        <v>246.40114869999999</v>
      </c>
      <c r="Y120" s="34">
        <v>266.18856049999999</v>
      </c>
      <c r="Z120" s="34">
        <v>223.6435731</v>
      </c>
      <c r="AA120" s="34">
        <v>176.01813770000001</v>
      </c>
      <c r="AB120" s="34">
        <v>204.17848670000001</v>
      </c>
      <c r="AC120" s="34">
        <v>252.3027525</v>
      </c>
      <c r="AD120" s="34">
        <v>288.40662079999998</v>
      </c>
      <c r="AE120" s="34">
        <v>297.2612441</v>
      </c>
      <c r="AF120" s="34">
        <v>350.0587845</v>
      </c>
      <c r="AG120" s="34">
        <v>404.19824970000002</v>
      </c>
      <c r="AH120" s="34">
        <v>466.27470210000001</v>
      </c>
      <c r="AI120" s="34">
        <v>458.5533069</v>
      </c>
      <c r="AJ120" s="34">
        <v>471.84204490000002</v>
      </c>
      <c r="AK120" s="34">
        <v>527.69983790000003</v>
      </c>
      <c r="AL120" s="34">
        <v>489.13106069999998</v>
      </c>
      <c r="AM120" s="34">
        <v>507.09788889999999</v>
      </c>
      <c r="AN120" s="34">
        <v>464.804531</v>
      </c>
      <c r="AO120" s="34">
        <v>451.92693420000001</v>
      </c>
      <c r="AP120" s="34">
        <v>436.48813730000001</v>
      </c>
      <c r="AQ120" s="34">
        <v>405.60571210000001</v>
      </c>
      <c r="AR120" s="34">
        <v>382.18960859999999</v>
      </c>
      <c r="AS120" s="34">
        <v>573.6517781</v>
      </c>
      <c r="AT120" s="34">
        <v>753.37590439999997</v>
      </c>
      <c r="AU120" s="34">
        <v>842.81263100000001</v>
      </c>
      <c r="AV120" s="34">
        <v>904.60612979999996</v>
      </c>
      <c r="AW120" s="34">
        <v>846.54232079999997</v>
      </c>
      <c r="AX120" s="34">
        <v>889.13428550000003</v>
      </c>
      <c r="AY120" s="34">
        <v>874.72986049999997</v>
      </c>
      <c r="AZ120" s="34">
        <v>1119.8436409999999</v>
      </c>
      <c r="BA120" s="34">
        <v>1287.269536</v>
      </c>
      <c r="BB120" s="34">
        <v>1229.6362320000001</v>
      </c>
      <c r="BC120" s="34">
        <v>1166.9117557182999</v>
      </c>
      <c r="BD120" s="34">
        <v>1194.5756269999999</v>
      </c>
      <c r="BE120" s="34">
        <v>1146.0646879999999</v>
      </c>
      <c r="BF120" s="34">
        <v>1018.931093</v>
      </c>
      <c r="BG120" s="34">
        <v>1102.9444100000001</v>
      </c>
      <c r="BH120" s="34">
        <v>1192.48432</v>
      </c>
      <c r="BI120" s="34">
        <v>1113.3721399999999</v>
      </c>
      <c r="BJ120" s="34">
        <v>875.353433</v>
      </c>
    </row>
    <row r="121" spans="1:62">
      <c r="A121" s="1" t="s">
        <v>1117</v>
      </c>
      <c r="B121" s="34">
        <v>0</v>
      </c>
      <c r="C121" s="34">
        <v>0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4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2167.792582</v>
      </c>
      <c r="AL121" s="34">
        <v>2327.4348570000002</v>
      </c>
      <c r="AM121" s="34">
        <v>2830.2780710000002</v>
      </c>
      <c r="AN121" s="34">
        <v>3166.6665330000001</v>
      </c>
      <c r="AO121" s="34">
        <v>3113.1790599999999</v>
      </c>
      <c r="AP121" s="34">
        <v>3293.2299790000002</v>
      </c>
      <c r="AQ121" s="34">
        <v>3525.7936319999999</v>
      </c>
      <c r="AR121" s="34">
        <v>4141.5927019999999</v>
      </c>
      <c r="AS121" s="34">
        <v>5499.428989</v>
      </c>
      <c r="AT121" s="34">
        <v>6700.3271919999997</v>
      </c>
      <c r="AU121" s="34">
        <v>7854.7652790000002</v>
      </c>
      <c r="AV121" s="34">
        <v>9230.7079809999996</v>
      </c>
      <c r="AW121" s="34">
        <v>12285.447050000001</v>
      </c>
      <c r="AX121" s="34">
        <v>14944.996649999999</v>
      </c>
      <c r="AY121" s="34">
        <v>11820.776159999999</v>
      </c>
      <c r="AZ121" s="34">
        <v>11987.50841</v>
      </c>
      <c r="BA121" s="34">
        <v>14376.94786</v>
      </c>
      <c r="BB121" s="34">
        <v>14367.709419999999</v>
      </c>
      <c r="BC121" s="34">
        <v>15729.6524666512</v>
      </c>
      <c r="BD121" s="34">
        <v>16551.018199999999</v>
      </c>
      <c r="BE121" s="34">
        <v>14258.22933</v>
      </c>
      <c r="BF121" s="34">
        <v>14998.12506</v>
      </c>
      <c r="BG121" s="34">
        <v>16843.699649999999</v>
      </c>
      <c r="BH121" s="34">
        <v>19176.812150000002</v>
      </c>
      <c r="BI121" s="34">
        <v>19575.768479999999</v>
      </c>
      <c r="BJ121" s="34">
        <v>20233.641350000002</v>
      </c>
    </row>
    <row r="122" spans="1:62">
      <c r="A122" s="1" t="s">
        <v>1119</v>
      </c>
      <c r="B122" s="34">
        <v>2242.015817</v>
      </c>
      <c r="C122" s="34">
        <v>2222.3663660000002</v>
      </c>
      <c r="D122" s="34">
        <v>2311.7988489999998</v>
      </c>
      <c r="E122" s="34">
        <v>2441.0385550000001</v>
      </c>
      <c r="F122" s="34">
        <v>2755.6331169999999</v>
      </c>
      <c r="G122" s="34">
        <v>2780.0927190000002</v>
      </c>
      <c r="H122" s="34">
        <v>2900.4332180000001</v>
      </c>
      <c r="I122" s="34">
        <v>2909.660629</v>
      </c>
      <c r="J122" s="34">
        <v>3175.3673690000001</v>
      </c>
      <c r="K122" s="34">
        <v>3658.9006829999998</v>
      </c>
      <c r="L122" s="34">
        <v>4298.0338970000003</v>
      </c>
      <c r="M122" s="34">
        <v>4435.3980080000001</v>
      </c>
      <c r="N122" s="34">
        <v>5486.720628</v>
      </c>
      <c r="O122" s="34">
        <v>7447.2130180000004</v>
      </c>
      <c r="P122" s="34">
        <v>8966.728959</v>
      </c>
      <c r="Q122" s="34">
        <v>8701.3047310000002</v>
      </c>
      <c r="R122" s="34">
        <v>9490.6903120000006</v>
      </c>
      <c r="S122" s="34">
        <v>10486.335789999999</v>
      </c>
      <c r="T122" s="34">
        <v>13034.388209999999</v>
      </c>
      <c r="U122" s="34">
        <v>15204.330819999999</v>
      </c>
      <c r="V122" s="34">
        <v>16531.1149</v>
      </c>
      <c r="W122" s="34">
        <v>13837.12998</v>
      </c>
      <c r="X122" s="34">
        <v>12590.9768</v>
      </c>
      <c r="Y122" s="34">
        <v>12374.030419999999</v>
      </c>
      <c r="Z122" s="34">
        <v>12126.939200000001</v>
      </c>
      <c r="AA122" s="34">
        <v>12481.965840000001</v>
      </c>
      <c r="AB122" s="34">
        <v>18149.86925</v>
      </c>
      <c r="AC122" s="34">
        <v>22443.43146</v>
      </c>
      <c r="AD122" s="34">
        <v>25219.35428</v>
      </c>
      <c r="AE122" s="34">
        <v>26618.069579999999</v>
      </c>
      <c r="AF122" s="34">
        <v>33465.478210000001</v>
      </c>
      <c r="AG122" s="34">
        <v>35747.337800000001</v>
      </c>
      <c r="AH122" s="34">
        <v>39570.861570000001</v>
      </c>
      <c r="AI122" s="34">
        <v>40066.724249999999</v>
      </c>
      <c r="AJ122" s="34">
        <v>43933.235439999997</v>
      </c>
      <c r="AK122" s="34">
        <v>51032.34964</v>
      </c>
      <c r="AL122" s="34">
        <v>50444.359120000001</v>
      </c>
      <c r="AM122" s="34">
        <v>46641.640879999999</v>
      </c>
      <c r="AN122" s="34">
        <v>47445.381079999999</v>
      </c>
      <c r="AO122" s="34">
        <v>50855.271679999998</v>
      </c>
      <c r="AP122" s="34">
        <v>48538.782899999998</v>
      </c>
      <c r="AQ122" s="34">
        <v>48398.229290000003</v>
      </c>
      <c r="AR122" s="34">
        <v>52754.273249999998</v>
      </c>
      <c r="AS122" s="34">
        <v>65544.591950000002</v>
      </c>
      <c r="AT122" s="34">
        <v>76404.415040000007</v>
      </c>
      <c r="AU122" s="34">
        <v>80957.941279999999</v>
      </c>
      <c r="AV122" s="34">
        <v>90712.799289999995</v>
      </c>
      <c r="AW122" s="34">
        <v>107338.8652</v>
      </c>
      <c r="AX122" s="34">
        <v>119932.24370000001</v>
      </c>
      <c r="AY122" s="34">
        <v>108987.6776</v>
      </c>
      <c r="AZ122" s="34">
        <v>110777.90790000001</v>
      </c>
      <c r="BA122" s="34">
        <v>118869.2999</v>
      </c>
      <c r="BB122" s="34">
        <v>112591.1162</v>
      </c>
      <c r="BC122" s="34">
        <v>119966.03488852301</v>
      </c>
      <c r="BD122" s="34">
        <v>123514.1967</v>
      </c>
      <c r="BE122" s="34">
        <v>105419.6085</v>
      </c>
      <c r="BF122" s="34">
        <v>106826.7264</v>
      </c>
      <c r="BG122" s="34">
        <v>109921.03140000001</v>
      </c>
      <c r="BH122" s="34">
        <v>117197.4817</v>
      </c>
      <c r="BI122" s="34">
        <v>113218.7133</v>
      </c>
      <c r="BJ122" s="34">
        <v>116014.60249999999</v>
      </c>
    </row>
    <row r="123" spans="1:62">
      <c r="A123" s="1" t="s">
        <v>1109</v>
      </c>
      <c r="B123" s="34">
        <v>0</v>
      </c>
      <c r="C123" s="34">
        <v>0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0</v>
      </c>
      <c r="AI123" s="34">
        <v>0</v>
      </c>
      <c r="AJ123" s="34">
        <v>0</v>
      </c>
      <c r="AK123" s="34">
        <v>2329.5767329999999</v>
      </c>
      <c r="AL123" s="34">
        <v>2431.7089999999998</v>
      </c>
      <c r="AM123" s="34">
        <v>2683.241368</v>
      </c>
      <c r="AN123" s="34">
        <v>2973.5348429999999</v>
      </c>
      <c r="AO123" s="34">
        <v>3151.577018</v>
      </c>
      <c r="AP123" s="34">
        <v>3361.6408689999998</v>
      </c>
      <c r="AQ123" s="34">
        <v>3578.0019000000002</v>
      </c>
      <c r="AR123" s="34">
        <v>4136.9332969999996</v>
      </c>
      <c r="AS123" s="34">
        <v>5145.195232</v>
      </c>
      <c r="AT123" s="34">
        <v>6378.6665210000001</v>
      </c>
      <c r="AU123" s="34">
        <v>7594.902384</v>
      </c>
      <c r="AV123" s="34">
        <v>9723.4469019999997</v>
      </c>
      <c r="AW123" s="34">
        <v>14113.529130000001</v>
      </c>
      <c r="AX123" s="34">
        <v>16467.143690000001</v>
      </c>
      <c r="AY123" s="34">
        <v>12331.928550000001</v>
      </c>
      <c r="AZ123" s="34">
        <v>11420.994000000001</v>
      </c>
      <c r="BA123" s="34">
        <v>13338.962240000001</v>
      </c>
      <c r="BB123" s="34">
        <v>13847.337939999999</v>
      </c>
      <c r="BC123" s="34">
        <v>15007.491856171901</v>
      </c>
      <c r="BD123" s="34">
        <v>15721.45233</v>
      </c>
      <c r="BE123" s="34">
        <v>13780.913549999999</v>
      </c>
      <c r="BF123" s="34">
        <v>14322.02268</v>
      </c>
      <c r="BG123" s="34">
        <v>15656.34749</v>
      </c>
      <c r="BH123" s="34">
        <v>17856.307120000001</v>
      </c>
      <c r="BI123" s="34">
        <v>17926.84159</v>
      </c>
      <c r="BJ123" s="34">
        <v>17726.252939999998</v>
      </c>
    </row>
    <row r="124" spans="1:62">
      <c r="A124" s="1" t="s">
        <v>1121</v>
      </c>
      <c r="B124" s="34">
        <v>0</v>
      </c>
      <c r="C124" s="34">
        <v>0</v>
      </c>
      <c r="D124" s="34">
        <v>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4549.0168370000001</v>
      </c>
      <c r="Y124" s="34">
        <v>4342.3420340000002</v>
      </c>
      <c r="Z124" s="34">
        <v>4796.9329900000002</v>
      </c>
      <c r="AA124" s="34">
        <v>4804.682041</v>
      </c>
      <c r="AB124" s="34">
        <v>5183.0601800000004</v>
      </c>
      <c r="AC124" s="34">
        <v>6352.5226560000001</v>
      </c>
      <c r="AD124" s="34">
        <v>7135.1155179999996</v>
      </c>
      <c r="AE124" s="34">
        <v>8130.4025949999996</v>
      </c>
      <c r="AF124" s="34">
        <v>9442.4866650000004</v>
      </c>
      <c r="AG124" s="34">
        <v>10647.571540000001</v>
      </c>
      <c r="AH124" s="34">
        <v>13564.12522</v>
      </c>
      <c r="AI124" s="34">
        <v>15304.28709</v>
      </c>
      <c r="AJ124" s="34">
        <v>16704.898829999998</v>
      </c>
      <c r="AK124" s="34">
        <v>18277.0425</v>
      </c>
      <c r="AL124" s="34">
        <v>18244.358960000001</v>
      </c>
      <c r="AM124" s="34">
        <v>18107.65985</v>
      </c>
      <c r="AN124" s="34">
        <v>16595.293379999999</v>
      </c>
      <c r="AO124" s="34">
        <v>15649.658869999999</v>
      </c>
      <c r="AP124" s="34">
        <v>15835.99101</v>
      </c>
      <c r="AQ124" s="34">
        <v>15665.29797</v>
      </c>
      <c r="AR124" s="34">
        <v>16424.932110000002</v>
      </c>
      <c r="AS124" s="34">
        <v>17921.10457</v>
      </c>
      <c r="AT124" s="34">
        <v>22568.310170000001</v>
      </c>
      <c r="AU124" s="34">
        <v>25183.132679999999</v>
      </c>
      <c r="AV124" s="34">
        <v>30121.560430000001</v>
      </c>
      <c r="AW124" s="34">
        <v>36550.505160000001</v>
      </c>
      <c r="AX124" s="34">
        <v>40810.82804</v>
      </c>
      <c r="AY124" s="34">
        <v>41010.06826</v>
      </c>
      <c r="AZ124" s="34">
        <v>52473.190990000003</v>
      </c>
      <c r="BA124" s="34">
        <v>66891.281969999996</v>
      </c>
      <c r="BB124" s="34">
        <v>76572.151790000004</v>
      </c>
      <c r="BC124" s="34">
        <v>89260.757104100499</v>
      </c>
      <c r="BD124" s="34">
        <v>93022.875140000004</v>
      </c>
      <c r="BE124" s="34">
        <v>74818.948130000004</v>
      </c>
      <c r="BF124" s="34">
        <v>73545.758239999996</v>
      </c>
      <c r="BG124" s="34">
        <v>81019.473769999997</v>
      </c>
      <c r="BH124" s="34">
        <v>87526.079989999998</v>
      </c>
      <c r="BI124" s="34">
        <v>86197.365690000006</v>
      </c>
      <c r="BJ124" s="34">
        <v>39403.135909999997</v>
      </c>
    </row>
    <row r="125" spans="1:62">
      <c r="A125" s="1" t="s">
        <v>1072</v>
      </c>
      <c r="B125" s="34">
        <v>164.80083239999999</v>
      </c>
      <c r="C125" s="34">
        <v>158.92358010000001</v>
      </c>
      <c r="D125" s="34">
        <v>181.1826409</v>
      </c>
      <c r="E125" s="34">
        <v>196.53127789999999</v>
      </c>
      <c r="F125" s="34">
        <v>201.26198299999999</v>
      </c>
      <c r="G125" s="34">
        <v>206.449018</v>
      </c>
      <c r="H125" s="34">
        <v>196.31445149999999</v>
      </c>
      <c r="I125" s="34">
        <v>202.85727170000001</v>
      </c>
      <c r="J125" s="34">
        <v>212.75085559999999</v>
      </c>
      <c r="K125" s="34">
        <v>232.12591330000001</v>
      </c>
      <c r="L125" s="34">
        <v>246.01566220000001</v>
      </c>
      <c r="M125" s="34">
        <v>265.20766420000001</v>
      </c>
      <c r="N125" s="34">
        <v>302.56449040000001</v>
      </c>
      <c r="O125" s="34">
        <v>364.63610670000003</v>
      </c>
      <c r="P125" s="34">
        <v>439.01235919999999</v>
      </c>
      <c r="Q125" s="34">
        <v>502.75652400000001</v>
      </c>
      <c r="R125" s="34">
        <v>524.17912369999999</v>
      </c>
      <c r="S125" s="34">
        <v>590.23225090000005</v>
      </c>
      <c r="T125" s="34">
        <v>690.1708003</v>
      </c>
      <c r="U125" s="34">
        <v>809.62760700000001</v>
      </c>
      <c r="V125" s="34">
        <v>1078.8399099999999</v>
      </c>
      <c r="W125" s="34">
        <v>861.79795839999997</v>
      </c>
      <c r="X125" s="34">
        <v>836.43506260000004</v>
      </c>
      <c r="Y125" s="34">
        <v>750.02160739999999</v>
      </c>
      <c r="Z125" s="34">
        <v>668.38542299999995</v>
      </c>
      <c r="AA125" s="34">
        <v>660.94673580000006</v>
      </c>
      <c r="AB125" s="34">
        <v>840.01168640000003</v>
      </c>
      <c r="AC125" s="34">
        <v>920.5913726</v>
      </c>
      <c r="AD125" s="34">
        <v>1066.3306520000001</v>
      </c>
      <c r="AE125" s="34">
        <v>1071.177518</v>
      </c>
      <c r="AF125" s="34">
        <v>1206.011886</v>
      </c>
      <c r="AG125" s="34">
        <v>1266.848894</v>
      </c>
      <c r="AH125" s="34">
        <v>1299.421278</v>
      </c>
      <c r="AI125" s="34">
        <v>1199.3191039999999</v>
      </c>
      <c r="AJ125" s="34">
        <v>1326.941452</v>
      </c>
      <c r="AK125" s="34">
        <v>1432.3098359999999</v>
      </c>
      <c r="AL125" s="34">
        <v>1561.1296110000001</v>
      </c>
      <c r="AM125" s="34">
        <v>1396.769667</v>
      </c>
      <c r="AN125" s="34">
        <v>1472.3859829999999</v>
      </c>
      <c r="AO125" s="34">
        <v>1447.9691929999999</v>
      </c>
      <c r="AP125" s="34">
        <v>1334.9434639999999</v>
      </c>
      <c r="AQ125" s="34">
        <v>1339.294077</v>
      </c>
      <c r="AR125" s="34">
        <v>1416.488396</v>
      </c>
      <c r="AS125" s="34">
        <v>1725.4574660000001</v>
      </c>
      <c r="AT125" s="34">
        <v>1952.9025340000001</v>
      </c>
      <c r="AU125" s="34">
        <v>2018.025547</v>
      </c>
      <c r="AV125" s="34">
        <v>2196.0112760000002</v>
      </c>
      <c r="AW125" s="34">
        <v>2499.2599380000001</v>
      </c>
      <c r="AX125" s="34">
        <v>2890.3607149999998</v>
      </c>
      <c r="AY125" s="34">
        <v>2866.9241099999999</v>
      </c>
      <c r="AZ125" s="34">
        <v>2839.9261200000001</v>
      </c>
      <c r="BA125" s="34">
        <v>3046.947854</v>
      </c>
      <c r="BB125" s="34">
        <v>2912.6582749999998</v>
      </c>
      <c r="BC125" s="34">
        <v>3121.6800808364301</v>
      </c>
      <c r="BD125" s="34">
        <v>3171.699192</v>
      </c>
      <c r="BE125" s="34">
        <v>2875.2579850000002</v>
      </c>
      <c r="BF125" s="34">
        <v>2896.7221960000002</v>
      </c>
      <c r="BG125" s="34">
        <v>3035.4544329999999</v>
      </c>
      <c r="BH125" s="34">
        <v>3226.982794</v>
      </c>
      <c r="BI125" s="34">
        <v>3230.4097219999999</v>
      </c>
      <c r="BJ125" s="34">
        <v>3009.24946</v>
      </c>
    </row>
    <row r="126" spans="1:62">
      <c r="A126" s="1" t="s">
        <v>1187</v>
      </c>
      <c r="B126" s="34">
        <v>0</v>
      </c>
      <c r="C126" s="34">
        <v>0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12478.131219999999</v>
      </c>
      <c r="M126" s="34">
        <v>13812.71818</v>
      </c>
      <c r="N126" s="34">
        <v>16735.01323</v>
      </c>
      <c r="O126" s="34">
        <v>21417.58295</v>
      </c>
      <c r="P126" s="34">
        <v>22712.943360000001</v>
      </c>
      <c r="Q126" s="34">
        <v>28247.54967</v>
      </c>
      <c r="R126" s="34">
        <v>28810.873009999999</v>
      </c>
      <c r="S126" s="34">
        <v>31430.433819999998</v>
      </c>
      <c r="T126" s="34">
        <v>38349.395759999999</v>
      </c>
      <c r="U126" s="34">
        <v>45845.109830000001</v>
      </c>
      <c r="V126" s="34">
        <v>51515.064129999999</v>
      </c>
      <c r="W126" s="34">
        <v>44369.561350000004</v>
      </c>
      <c r="X126" s="34">
        <v>41371.876810000002</v>
      </c>
      <c r="Y126" s="34">
        <v>38893.303229999998</v>
      </c>
      <c r="Z126" s="34">
        <v>36382.973460000001</v>
      </c>
      <c r="AA126" s="34">
        <v>37552.055639999999</v>
      </c>
      <c r="AB126" s="34">
        <v>52158.677739999999</v>
      </c>
      <c r="AC126" s="34">
        <v>63077.774570000001</v>
      </c>
      <c r="AD126" s="34">
        <v>68441.251610000007</v>
      </c>
      <c r="AE126" s="34">
        <v>68583.604049999994</v>
      </c>
      <c r="AF126" s="34">
        <v>84303.878429999997</v>
      </c>
      <c r="AG126" s="34">
        <v>83721.991420000006</v>
      </c>
      <c r="AH126" s="34">
        <v>91670.604009999995</v>
      </c>
      <c r="AI126" s="34">
        <v>85397.326560000001</v>
      </c>
      <c r="AJ126" s="34">
        <v>89378.039789999995</v>
      </c>
      <c r="AK126" s="34">
        <v>101866.6041</v>
      </c>
      <c r="AL126" s="34">
        <v>101212.00260000001</v>
      </c>
      <c r="AM126" s="34">
        <v>90833.297460000002</v>
      </c>
      <c r="AN126" s="34">
        <v>92999.253450000004</v>
      </c>
      <c r="AO126" s="34">
        <v>91283.256590000005</v>
      </c>
      <c r="AP126" s="34">
        <v>82365.492360000004</v>
      </c>
      <c r="AQ126" s="34">
        <v>83724.465909999999</v>
      </c>
      <c r="AR126" s="34">
        <v>90506.859509999995</v>
      </c>
      <c r="AS126" s="34">
        <v>108656.8026</v>
      </c>
      <c r="AT126" s="34">
        <v>123523.4932</v>
      </c>
      <c r="AU126" s="34">
        <v>124197.2754</v>
      </c>
      <c r="AV126" s="34">
        <v>134048.6219</v>
      </c>
      <c r="AW126" s="34">
        <v>169966.3069</v>
      </c>
      <c r="AX126" s="34">
        <v>185785.72589999999</v>
      </c>
      <c r="AY126" s="34">
        <v>154775.38080000001</v>
      </c>
      <c r="AZ126" s="34">
        <v>150737.89249999999</v>
      </c>
      <c r="BA126" s="34">
        <v>169016.1961</v>
      </c>
      <c r="BB126" s="34">
        <v>157520.2194</v>
      </c>
      <c r="BC126" s="34">
        <v>177673.74536842</v>
      </c>
      <c r="BD126" s="34">
        <v>189432.37</v>
      </c>
      <c r="BE126" s="34">
        <v>165989.50510000001</v>
      </c>
      <c r="BF126" s="34">
        <v>170028.6557</v>
      </c>
      <c r="BG126" s="34">
        <v>167517.05970000001</v>
      </c>
      <c r="BH126" s="34">
        <v>185978.60930000001</v>
      </c>
      <c r="BI126" s="34">
        <v>190512.73740000001</v>
      </c>
      <c r="BJ126" s="34">
        <v>0</v>
      </c>
    </row>
    <row r="127" spans="1:62">
      <c r="A127" s="1" t="s">
        <v>1070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593.76613829999997</v>
      </c>
      <c r="AL127" s="34">
        <v>575.31957599999998</v>
      </c>
      <c r="AM127" s="34">
        <v>657.49119029999997</v>
      </c>
      <c r="AN127" s="34">
        <v>578.9097663</v>
      </c>
      <c r="AO127" s="34">
        <v>399.6207703</v>
      </c>
      <c r="AP127" s="34">
        <v>440.67203069999999</v>
      </c>
      <c r="AQ127" s="34">
        <v>507.55765839999998</v>
      </c>
      <c r="AR127" s="34">
        <v>570.97264540000003</v>
      </c>
      <c r="AS127" s="34">
        <v>682.52550880000001</v>
      </c>
      <c r="AT127" s="34">
        <v>897.44995879999999</v>
      </c>
      <c r="AU127" s="34">
        <v>1034.707058</v>
      </c>
      <c r="AV127" s="34">
        <v>1183.3792109999999</v>
      </c>
      <c r="AW127" s="34">
        <v>1531.6854760000001</v>
      </c>
      <c r="AX127" s="34">
        <v>2111.2014949999998</v>
      </c>
      <c r="AY127" s="34">
        <v>1899.010117</v>
      </c>
      <c r="AZ127" s="34">
        <v>2437.529978</v>
      </c>
      <c r="BA127" s="34">
        <v>2942.2559489999999</v>
      </c>
      <c r="BB127" s="34">
        <v>3045.7398739999999</v>
      </c>
      <c r="BC127" s="34">
        <v>3322.0384362615</v>
      </c>
      <c r="BD127" s="34">
        <v>3328.801449</v>
      </c>
      <c r="BE127" s="34">
        <v>2732.4571129999999</v>
      </c>
      <c r="BF127" s="34">
        <v>2880.4392809999999</v>
      </c>
      <c r="BG127" s="34">
        <v>3509.6934500000002</v>
      </c>
      <c r="BH127" s="34">
        <v>4230.3630370000001</v>
      </c>
      <c r="BI127" s="34">
        <v>4491.6888269999999</v>
      </c>
      <c r="BJ127" s="34">
        <v>4547.0597209999996</v>
      </c>
    </row>
    <row r="128" spans="1:62">
      <c r="A128" s="1" t="s">
        <v>1062</v>
      </c>
      <c r="B128" s="34">
        <v>131.99316540000001</v>
      </c>
      <c r="C128" s="34">
        <v>133.8477609</v>
      </c>
      <c r="D128" s="34">
        <v>138.12000399999999</v>
      </c>
      <c r="E128" s="34">
        <v>138.40716570000001</v>
      </c>
      <c r="F128" s="34">
        <v>142.65933989999999</v>
      </c>
      <c r="G128" s="34">
        <v>144.48473010000001</v>
      </c>
      <c r="H128" s="34">
        <v>152.1078972</v>
      </c>
      <c r="I128" s="34">
        <v>157.4763093</v>
      </c>
      <c r="J128" s="34">
        <v>165.4783754</v>
      </c>
      <c r="K128" s="34">
        <v>165.0115988</v>
      </c>
      <c r="L128" s="34">
        <v>169.07056009999999</v>
      </c>
      <c r="M128" s="34">
        <v>177.4983312</v>
      </c>
      <c r="N128" s="34">
        <v>193.12858259999999</v>
      </c>
      <c r="O128" s="34">
        <v>231.43595869999999</v>
      </c>
      <c r="P128" s="34">
        <v>261.03559009999998</v>
      </c>
      <c r="Q128" s="34">
        <v>302.14922769999998</v>
      </c>
      <c r="R128" s="34">
        <v>280.67893049999998</v>
      </c>
      <c r="S128" s="34">
        <v>294.93424629999998</v>
      </c>
      <c r="T128" s="34">
        <v>324.38465339999999</v>
      </c>
      <c r="U128" s="34">
        <v>408.93718630000001</v>
      </c>
      <c r="V128" s="34">
        <v>596.77497930000004</v>
      </c>
      <c r="W128" s="34">
        <v>530.50430600000004</v>
      </c>
      <c r="X128" s="34">
        <v>518.18349120000005</v>
      </c>
      <c r="Y128" s="34">
        <v>493.0889593</v>
      </c>
      <c r="Z128" s="34">
        <v>399.3447291</v>
      </c>
      <c r="AA128" s="34">
        <v>377.85666420000001</v>
      </c>
      <c r="AB128" s="34">
        <v>420.00972350000001</v>
      </c>
      <c r="AC128" s="34">
        <v>301.74446769999997</v>
      </c>
      <c r="AD128" s="34">
        <v>291.2108877</v>
      </c>
      <c r="AE128" s="34">
        <v>281.81170659999998</v>
      </c>
      <c r="AF128" s="34">
        <v>338.94771270000001</v>
      </c>
      <c r="AG128" s="34">
        <v>272.52491909999998</v>
      </c>
      <c r="AH128" s="34">
        <v>301.99698660000001</v>
      </c>
      <c r="AI128" s="34">
        <v>320.56399010000001</v>
      </c>
      <c r="AJ128" s="34">
        <v>269.5607119</v>
      </c>
      <c r="AK128" s="34">
        <v>284.82272870000003</v>
      </c>
      <c r="AL128" s="34">
        <v>354.74133110000002</v>
      </c>
      <c r="AM128" s="34">
        <v>297.11505979999998</v>
      </c>
      <c r="AN128" s="34">
        <v>297.25367180000001</v>
      </c>
      <c r="AO128" s="34">
        <v>279.92128659999997</v>
      </c>
      <c r="AP128" s="34">
        <v>293.60715740000001</v>
      </c>
      <c r="AQ128" s="34">
        <v>334.44161769999999</v>
      </c>
      <c r="AR128" s="34">
        <v>319.21637879999997</v>
      </c>
      <c r="AS128" s="34">
        <v>368.79723689999997</v>
      </c>
      <c r="AT128" s="34">
        <v>284.48772630000002</v>
      </c>
      <c r="AU128" s="34">
        <v>319.53747509999999</v>
      </c>
      <c r="AV128" s="34">
        <v>338.7511983</v>
      </c>
      <c r="AW128" s="34">
        <v>438.65551579999999</v>
      </c>
      <c r="AX128" s="34">
        <v>536.3514017</v>
      </c>
      <c r="AY128" s="34">
        <v>467.53978339999998</v>
      </c>
      <c r="AZ128" s="34">
        <v>471.9592116</v>
      </c>
      <c r="BA128" s="34">
        <v>531.2654321</v>
      </c>
      <c r="BB128" s="34">
        <v>518.15281270000003</v>
      </c>
      <c r="BC128" s="34">
        <v>541.06594370085702</v>
      </c>
      <c r="BD128" s="34">
        <v>530.86103890000004</v>
      </c>
      <c r="BE128" s="34">
        <v>467.23543160000003</v>
      </c>
      <c r="BF128" s="34">
        <v>475.95555680000001</v>
      </c>
      <c r="BG128" s="34">
        <v>515.29332339999996</v>
      </c>
      <c r="BH128" s="34">
        <v>523.94597139999996</v>
      </c>
      <c r="BI128" s="34">
        <v>522.98952429999997</v>
      </c>
      <c r="BJ128" s="34">
        <v>471.49149629999999</v>
      </c>
    </row>
    <row r="129" spans="1:62">
      <c r="A129" s="1" t="s">
        <v>1124</v>
      </c>
      <c r="B129" s="34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268.29663149999999</v>
      </c>
      <c r="W129" s="34">
        <v>273.35602239999997</v>
      </c>
      <c r="X129" s="34">
        <v>282.08067039999997</v>
      </c>
      <c r="Y129" s="34">
        <v>328.10296010000002</v>
      </c>
      <c r="Z129" s="34">
        <v>598.87746159999995</v>
      </c>
      <c r="AA129" s="34">
        <v>671.0496885</v>
      </c>
      <c r="AB129" s="34">
        <v>722.92269629999998</v>
      </c>
      <c r="AC129" s="34">
        <v>695.59770949999995</v>
      </c>
      <c r="AD129" s="34">
        <v>803.26480370000002</v>
      </c>
      <c r="AE129" s="34">
        <v>875.34726809999995</v>
      </c>
      <c r="AF129" s="34">
        <v>963.63565819999997</v>
      </c>
      <c r="AG129" s="34">
        <v>1063.783279</v>
      </c>
      <c r="AH129" s="34">
        <v>1205.712591</v>
      </c>
      <c r="AI129" s="34">
        <v>1329.0319589999999</v>
      </c>
      <c r="AJ129" s="34">
        <v>1432.17689</v>
      </c>
      <c r="AK129" s="34">
        <v>1569.9326169999999</v>
      </c>
      <c r="AL129" s="34">
        <v>1737.733635</v>
      </c>
      <c r="AM129" s="34">
        <v>1926.2860350000001</v>
      </c>
      <c r="AN129" s="34">
        <v>2011.9443369999999</v>
      </c>
      <c r="AO129" s="34">
        <v>2154.2682260000001</v>
      </c>
      <c r="AP129" s="34">
        <v>2234.5958609999998</v>
      </c>
      <c r="AQ129" s="34">
        <v>3038.7814170000001</v>
      </c>
      <c r="AR129" s="34">
        <v>3049.207981</v>
      </c>
      <c r="AS129" s="34">
        <v>3476.006273</v>
      </c>
      <c r="AT129" s="34">
        <v>3941.4311360000002</v>
      </c>
      <c r="AU129" s="34">
        <v>3640.0121319999998</v>
      </c>
      <c r="AV129" s="34">
        <v>4809.9337400000004</v>
      </c>
      <c r="AW129" s="34">
        <v>5574.401981</v>
      </c>
      <c r="AX129" s="34">
        <v>6614.2361799999999</v>
      </c>
      <c r="AY129" s="34">
        <v>6636.5438709999999</v>
      </c>
      <c r="AZ129" s="34">
        <v>7076.7398210000001</v>
      </c>
      <c r="BA129" s="34">
        <v>7291.4659670000001</v>
      </c>
      <c r="BB129" s="34">
        <v>7265.7233990000004</v>
      </c>
      <c r="BC129" s="34">
        <v>7928.4764426506099</v>
      </c>
      <c r="BD129" s="34">
        <v>8499.3071479999999</v>
      </c>
      <c r="BE129" s="34">
        <v>9033.4102700000003</v>
      </c>
      <c r="BF129" s="34">
        <v>9209.4435639999992</v>
      </c>
      <c r="BG129" s="34">
        <v>9577.3469459999997</v>
      </c>
      <c r="BH129" s="34">
        <v>10279.07998</v>
      </c>
      <c r="BI129" s="34">
        <v>10561.613509999999</v>
      </c>
      <c r="BJ129" s="34">
        <v>6924.1057449999998</v>
      </c>
    </row>
    <row r="130" spans="1:62">
      <c r="A130" s="1" t="s">
        <v>537</v>
      </c>
      <c r="B130" s="34">
        <v>345.23054079999997</v>
      </c>
      <c r="C130" s="34">
        <v>363.3932709</v>
      </c>
      <c r="D130" s="34">
        <v>378.1534954</v>
      </c>
      <c r="E130" s="34">
        <v>409.04557010000002</v>
      </c>
      <c r="F130" s="34">
        <v>469.47613689999997</v>
      </c>
      <c r="G130" s="34">
        <v>494.9702613</v>
      </c>
      <c r="H130" s="34">
        <v>534.27363149999996</v>
      </c>
      <c r="I130" s="34">
        <v>565.63340889999995</v>
      </c>
      <c r="J130" s="34">
        <v>606.21113270000001</v>
      </c>
      <c r="K130" s="34">
        <v>650.31172719999995</v>
      </c>
      <c r="L130" s="34">
        <v>689.79492870000001</v>
      </c>
      <c r="M130" s="34">
        <v>738.55847630000005</v>
      </c>
      <c r="N130" s="34">
        <v>826.47735020000005</v>
      </c>
      <c r="O130" s="34">
        <v>981.45898279999994</v>
      </c>
      <c r="P130" s="34">
        <v>1242.0900429999999</v>
      </c>
      <c r="Q130" s="34">
        <v>1476.3132169999999</v>
      </c>
      <c r="R130" s="34">
        <v>1453.670672</v>
      </c>
      <c r="S130" s="34">
        <v>1301.3246220000001</v>
      </c>
      <c r="T130" s="34">
        <v>1589.2736399999999</v>
      </c>
      <c r="U130" s="34">
        <v>2034.9886690000001</v>
      </c>
      <c r="V130" s="34">
        <v>3027.375274</v>
      </c>
      <c r="W130" s="34">
        <v>3803.0309259999999</v>
      </c>
      <c r="X130" s="34">
        <v>2597.9829030000001</v>
      </c>
      <c r="Y130" s="34">
        <v>2147.7195590000001</v>
      </c>
      <c r="Z130" s="34">
        <v>2478.2108360000002</v>
      </c>
      <c r="AA130" s="34">
        <v>2569.2397139999998</v>
      </c>
      <c r="AB130" s="34">
        <v>1733.9129929999999</v>
      </c>
      <c r="AC130" s="34">
        <v>1862.8862039999999</v>
      </c>
      <c r="AD130" s="34">
        <v>2247.9813859999999</v>
      </c>
      <c r="AE130" s="34">
        <v>2687.9148449999998</v>
      </c>
      <c r="AF130" s="34">
        <v>3112.268595</v>
      </c>
      <c r="AG130" s="34">
        <v>3661.9479649999998</v>
      </c>
      <c r="AH130" s="34">
        <v>4170.6233830000001</v>
      </c>
      <c r="AI130" s="34">
        <v>5650.0262860000003</v>
      </c>
      <c r="AJ130" s="34">
        <v>5854.4181170000002</v>
      </c>
      <c r="AK130" s="34">
        <v>3928.2237110000001</v>
      </c>
      <c r="AL130" s="34">
        <v>4412.1162979999999</v>
      </c>
      <c r="AM130" s="34">
        <v>5289.1676530000004</v>
      </c>
      <c r="AN130" s="34">
        <v>5481.1819539999997</v>
      </c>
      <c r="AO130" s="34">
        <v>6157.1930439999996</v>
      </c>
      <c r="AP130" s="34">
        <v>7157.8145000000004</v>
      </c>
      <c r="AQ130" s="34">
        <v>7544.5687230000003</v>
      </c>
      <c r="AR130" s="34">
        <v>7593.1373450000001</v>
      </c>
      <c r="AS130" s="34">
        <v>7075.369643</v>
      </c>
      <c r="AT130" s="34">
        <v>7484.4863990000003</v>
      </c>
      <c r="AU130" s="34">
        <v>8277.6715640000002</v>
      </c>
      <c r="AV130" s="34">
        <v>9068.2942179999991</v>
      </c>
      <c r="AW130" s="34">
        <v>9642.6805170000007</v>
      </c>
      <c r="AX130" s="34">
        <v>10016.57121</v>
      </c>
      <c r="AY130" s="34">
        <v>8002.972178</v>
      </c>
      <c r="AZ130" s="34">
        <v>9271.3983960000005</v>
      </c>
      <c r="BA130" s="34">
        <v>10203.4213</v>
      </c>
      <c r="BB130" s="34">
        <v>10241.72783</v>
      </c>
      <c r="BC130" s="34">
        <v>10725.183587379601</v>
      </c>
      <c r="BD130" s="34">
        <v>10928.916010000001</v>
      </c>
      <c r="BE130" s="34">
        <v>9616.6455580000002</v>
      </c>
      <c r="BF130" s="34">
        <v>8744.5155589999995</v>
      </c>
      <c r="BG130" s="34">
        <v>9287.8495870000006</v>
      </c>
      <c r="BH130" s="34">
        <v>9686.9849269999995</v>
      </c>
      <c r="BI130" s="34">
        <v>9950.4500800000005</v>
      </c>
      <c r="BJ130" s="34">
        <v>8329.2713129999993</v>
      </c>
    </row>
    <row r="131" spans="1:62">
      <c r="A131" s="1" t="s">
        <v>1126</v>
      </c>
      <c r="B131" s="34">
        <v>0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4">
        <v>0</v>
      </c>
      <c r="W131" s="34">
        <v>972.93228369999997</v>
      </c>
      <c r="X131" s="34">
        <v>1047.6447639999999</v>
      </c>
      <c r="Y131" s="34">
        <v>1196.898025</v>
      </c>
      <c r="Z131" s="34">
        <v>1234.6570400000001</v>
      </c>
      <c r="AA131" s="34">
        <v>1144.739245</v>
      </c>
      <c r="AB131" s="34">
        <v>1392.345568</v>
      </c>
      <c r="AC131" s="34">
        <v>1493.6207549999999</v>
      </c>
      <c r="AD131" s="34">
        <v>1603.193323</v>
      </c>
      <c r="AE131" s="34">
        <v>1588.539507</v>
      </c>
      <c r="AF131" s="34">
        <v>1660.340633</v>
      </c>
      <c r="AG131" s="34">
        <v>1704.584427</v>
      </c>
      <c r="AH131" s="34">
        <v>1849.2953170000001</v>
      </c>
      <c r="AI131" s="34">
        <v>1996.086538</v>
      </c>
      <c r="AJ131" s="34">
        <v>2152.2085470000002</v>
      </c>
      <c r="AK131" s="34">
        <v>2382.9626990000002</v>
      </c>
      <c r="AL131" s="34">
        <v>2194.2085780000002</v>
      </c>
      <c r="AM131" s="34">
        <v>2194.2322559999998</v>
      </c>
      <c r="AN131" s="34">
        <v>2229.7124469999999</v>
      </c>
      <c r="AO131" s="34">
        <v>2267.5691219999999</v>
      </c>
      <c r="AP131" s="34">
        <v>2272.6780159999998</v>
      </c>
      <c r="AQ131" s="34">
        <v>2389.0607070000001</v>
      </c>
      <c r="AR131" s="34">
        <v>2515.624045</v>
      </c>
      <c r="AS131" s="34">
        <v>2457.65454</v>
      </c>
      <c r="AT131" s="34">
        <v>2431.1660179999999</v>
      </c>
      <c r="AU131" s="34">
        <v>2471.352046</v>
      </c>
      <c r="AV131" s="34">
        <v>2537.7172059999998</v>
      </c>
      <c r="AW131" s="34">
        <v>2646.8739959999998</v>
      </c>
      <c r="AX131" s="34">
        <v>2704.4635539999999</v>
      </c>
      <c r="AY131" s="34">
        <v>2662.3340149999999</v>
      </c>
      <c r="AZ131" s="34">
        <v>2846.0655419999998</v>
      </c>
      <c r="BA131" s="34">
        <v>3046.2900709999999</v>
      </c>
      <c r="BB131" s="34">
        <v>3181.6246999999998</v>
      </c>
      <c r="BC131" s="34">
        <v>3246.6302495916302</v>
      </c>
      <c r="BD131" s="34">
        <v>3185.2613540000002</v>
      </c>
      <c r="BE131" s="34">
        <v>3199.8868459999999</v>
      </c>
      <c r="BF131" s="34">
        <v>3490.9983889999999</v>
      </c>
      <c r="BG131" s="34">
        <v>3672.576783</v>
      </c>
      <c r="BH131" s="34">
        <v>3793.5509830000001</v>
      </c>
      <c r="BI131" s="34">
        <v>4073.1098299999999</v>
      </c>
      <c r="BJ131" s="34">
        <v>4129.8509979999999</v>
      </c>
    </row>
    <row r="132" spans="1:62">
      <c r="A132" s="1" t="s">
        <v>1188</v>
      </c>
      <c r="B132" s="34">
        <v>154.8804586</v>
      </c>
      <c r="C132" s="34">
        <v>145.8432742</v>
      </c>
      <c r="D132" s="34">
        <v>146.25941180000001</v>
      </c>
      <c r="E132" s="34">
        <v>153.21775769999999</v>
      </c>
      <c r="F132" s="34">
        <v>170.54137499999999</v>
      </c>
      <c r="G132" s="34">
        <v>183.85268600000001</v>
      </c>
      <c r="H132" s="34">
        <v>185.81010760000001</v>
      </c>
      <c r="I132" s="34">
        <v>186.42808919999999</v>
      </c>
      <c r="J132" s="34">
        <v>192.25433150000001</v>
      </c>
      <c r="K132" s="34">
        <v>209.8096018</v>
      </c>
      <c r="L132" s="34">
        <v>225.00866139999999</v>
      </c>
      <c r="M132" s="34">
        <v>236.26701790000001</v>
      </c>
      <c r="N132" s="34">
        <v>258.61148420000001</v>
      </c>
      <c r="O132" s="34">
        <v>322.62698219999999</v>
      </c>
      <c r="P132" s="34">
        <v>401.43018110000003</v>
      </c>
      <c r="Q132" s="34">
        <v>434.47705009999999</v>
      </c>
      <c r="R132" s="34">
        <v>457.74979560000003</v>
      </c>
      <c r="S132" s="34">
        <v>503.64311809999998</v>
      </c>
      <c r="T132" s="34">
        <v>535.38253799999995</v>
      </c>
      <c r="U132" s="34">
        <v>624.70428519999996</v>
      </c>
      <c r="V132" s="34">
        <v>723.49288290000004</v>
      </c>
      <c r="W132" s="34">
        <v>798.63860810000006</v>
      </c>
      <c r="X132" s="34">
        <v>770.94732799999997</v>
      </c>
      <c r="Y132" s="34">
        <v>729.47212009999998</v>
      </c>
      <c r="Z132" s="34">
        <v>724.28899539999998</v>
      </c>
      <c r="AA132" s="34">
        <v>752.44665970000005</v>
      </c>
      <c r="AB132" s="34">
        <v>764.71716709999998</v>
      </c>
      <c r="AC132" s="34">
        <v>772.12365469999997</v>
      </c>
      <c r="AD132" s="34">
        <v>810.14395139999999</v>
      </c>
      <c r="AE132" s="34">
        <v>812.41352710000001</v>
      </c>
      <c r="AF132" s="34">
        <v>915.31419759999994</v>
      </c>
      <c r="AG132" s="34">
        <v>866.15083649999997</v>
      </c>
      <c r="AH132" s="34">
        <v>896.16696660000002</v>
      </c>
      <c r="AI132" s="34">
        <v>950.10060309999994</v>
      </c>
      <c r="AJ132" s="34">
        <v>1033.166332</v>
      </c>
      <c r="AK132" s="34">
        <v>1151.2996559999999</v>
      </c>
      <c r="AL132" s="34">
        <v>1245.3603029999999</v>
      </c>
      <c r="AM132" s="34">
        <v>1304.3529510000001</v>
      </c>
      <c r="AN132" s="34">
        <v>1258.98848</v>
      </c>
      <c r="AO132" s="34">
        <v>1234.0656449999999</v>
      </c>
      <c r="AP132" s="34">
        <v>1335.920212</v>
      </c>
      <c r="AQ132" s="34">
        <v>1348.8670119999999</v>
      </c>
      <c r="AR132" s="34">
        <v>1410.640913</v>
      </c>
      <c r="AS132" s="34">
        <v>1632.887279</v>
      </c>
      <c r="AT132" s="34">
        <v>1950.368011</v>
      </c>
      <c r="AU132" s="34">
        <v>2327.2398050000002</v>
      </c>
      <c r="AV132" s="34">
        <v>2783.2822540000002</v>
      </c>
      <c r="AW132" s="34">
        <v>3499.2488020000001</v>
      </c>
      <c r="AX132" s="34">
        <v>4267.8661579999998</v>
      </c>
      <c r="AY132" s="34">
        <v>4270.5605589999996</v>
      </c>
      <c r="AZ132" s="34">
        <v>5085.953947</v>
      </c>
      <c r="BA132" s="34">
        <v>5989.5473229999998</v>
      </c>
      <c r="BB132" s="34">
        <v>4753.7312199999997</v>
      </c>
      <c r="BC132" s="34">
        <v>4969.7013629109397</v>
      </c>
      <c r="BD132" s="34">
        <v>5071.561001</v>
      </c>
      <c r="BE132" s="34">
        <v>4756.4774580000003</v>
      </c>
      <c r="BF132" s="34">
        <v>4733.851353</v>
      </c>
      <c r="BG132" s="34">
        <v>5143.3224739999996</v>
      </c>
      <c r="BH132" s="34">
        <v>5401.5034939999996</v>
      </c>
      <c r="BI132" s="34">
        <v>5481.3737579999997</v>
      </c>
      <c r="BJ132" s="34">
        <v>5216.9478909999998</v>
      </c>
    </row>
    <row r="133" spans="1:62">
      <c r="A133" s="1" t="s">
        <v>1189</v>
      </c>
      <c r="B133" s="34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2354.2752559999999</v>
      </c>
      <c r="AG133" s="34">
        <v>2477.6830380000001</v>
      </c>
      <c r="AH133" s="34">
        <v>1225.373149</v>
      </c>
      <c r="AI133" s="34">
        <v>1352.028452</v>
      </c>
      <c r="AJ133" s="34">
        <v>1796.2274259999999</v>
      </c>
      <c r="AK133" s="34">
        <v>2373.3844629999999</v>
      </c>
      <c r="AL133" s="34">
        <v>2333.3279819999998</v>
      </c>
      <c r="AM133" s="34">
        <v>1959.5607379999999</v>
      </c>
      <c r="AN133" s="34">
        <v>1875.8177639999999</v>
      </c>
      <c r="AO133" s="34">
        <v>1915.3937530000001</v>
      </c>
      <c r="AP133" s="34">
        <v>1861.8980650000001</v>
      </c>
      <c r="AQ133" s="34">
        <v>1823.023561</v>
      </c>
      <c r="AR133" s="34">
        <v>1989.135125</v>
      </c>
      <c r="AS133" s="34">
        <v>2440.4769430000001</v>
      </c>
      <c r="AT133" s="34">
        <v>2795.899261</v>
      </c>
      <c r="AU133" s="34">
        <v>3072.6785730000001</v>
      </c>
      <c r="AV133" s="34">
        <v>3362.9684189999998</v>
      </c>
      <c r="AW133" s="34">
        <v>4079.3919540000002</v>
      </c>
      <c r="AX133" s="34">
        <v>4841.2516939999996</v>
      </c>
      <c r="AY133" s="34">
        <v>4584.7098319999996</v>
      </c>
      <c r="AZ133" s="34">
        <v>4577.6887550000001</v>
      </c>
      <c r="BA133" s="34">
        <v>5098.0975829999998</v>
      </c>
      <c r="BB133" s="34">
        <v>4728.3081419999999</v>
      </c>
      <c r="BC133" s="34">
        <v>5241.0583454835496</v>
      </c>
      <c r="BD133" s="34">
        <v>5495.7350489999999</v>
      </c>
      <c r="BE133" s="34">
        <v>4861.5539710000003</v>
      </c>
      <c r="BF133" s="34">
        <v>5149.5890740000004</v>
      </c>
      <c r="BG133" s="34">
        <v>5450.4928810000001</v>
      </c>
      <c r="BH133" s="34">
        <v>6108.740108</v>
      </c>
      <c r="BI133" s="34">
        <v>6070.388054</v>
      </c>
      <c r="BJ133" s="34">
        <v>5917.2625749999997</v>
      </c>
    </row>
    <row r="134" spans="1:62">
      <c r="A134" s="1" t="s">
        <v>1066</v>
      </c>
      <c r="B134" s="34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48.279924710000003</v>
      </c>
      <c r="J134" s="34">
        <v>59.467517270000002</v>
      </c>
      <c r="K134" s="34">
        <v>57.99175065</v>
      </c>
      <c r="L134" s="34">
        <v>60.475680500000003</v>
      </c>
      <c r="M134" s="34">
        <v>65.384564139999995</v>
      </c>
      <c r="N134" s="34">
        <v>79.157410659999996</v>
      </c>
      <c r="O134" s="34">
        <v>90.100136059999997</v>
      </c>
      <c r="P134" s="34">
        <v>84.59767549</v>
      </c>
      <c r="Q134" s="34">
        <v>128.15095289999999</v>
      </c>
      <c r="R134" s="34">
        <v>142.37800780000001</v>
      </c>
      <c r="S134" s="34">
        <v>156.4059494</v>
      </c>
      <c r="T134" s="34">
        <v>178.9908135</v>
      </c>
      <c r="U134" s="34">
        <v>229.34581410000001</v>
      </c>
      <c r="V134" s="34">
        <v>248.18853379999999</v>
      </c>
      <c r="W134" s="34">
        <v>212.72137549999999</v>
      </c>
      <c r="X134" s="34">
        <v>180.51137979999999</v>
      </c>
      <c r="Y134" s="34">
        <v>171.99785159999999</v>
      </c>
      <c r="Z134" s="34">
        <v>160.2268498</v>
      </c>
      <c r="AA134" s="34">
        <v>177.76112599999999</v>
      </c>
      <c r="AB134" s="34">
        <v>232.8899098</v>
      </c>
      <c r="AC134" s="34">
        <v>259.30911200000003</v>
      </c>
      <c r="AD134" s="34">
        <v>265.43731229999997</v>
      </c>
      <c r="AE134" s="34">
        <v>262.9663223</v>
      </c>
      <c r="AF134" s="34">
        <v>317.3948274</v>
      </c>
      <c r="AG134" s="34">
        <v>315.4528143</v>
      </c>
      <c r="AH134" s="34">
        <v>319.84020470000002</v>
      </c>
      <c r="AI134" s="34">
        <v>310.14120159999999</v>
      </c>
      <c r="AJ134" s="34">
        <v>223.0196004</v>
      </c>
      <c r="AK134" s="34">
        <v>282.34014380000002</v>
      </c>
      <c r="AL134" s="34">
        <v>282.63421190000003</v>
      </c>
      <c r="AM134" s="34">
        <v>267.18901640000001</v>
      </c>
      <c r="AN134" s="34">
        <v>281.87340929999999</v>
      </c>
      <c r="AO134" s="34">
        <v>323.28890339999998</v>
      </c>
      <c r="AP134" s="34">
        <v>270.542236</v>
      </c>
      <c r="AQ134" s="34">
        <v>307.7048595</v>
      </c>
      <c r="AR134" s="34">
        <v>336.4187392</v>
      </c>
      <c r="AS134" s="34">
        <v>393.40500909999997</v>
      </c>
      <c r="AT134" s="34">
        <v>440.95677710000001</v>
      </c>
      <c r="AU134" s="34">
        <v>489.02133689999999</v>
      </c>
      <c r="AV134" s="34">
        <v>523.03860310000005</v>
      </c>
      <c r="AW134" s="34">
        <v>597.48445760000004</v>
      </c>
      <c r="AX134" s="34">
        <v>697.08786850000001</v>
      </c>
      <c r="AY134" s="34">
        <v>701.71711340000002</v>
      </c>
      <c r="AZ134" s="34">
        <v>710.27424940000003</v>
      </c>
      <c r="BA134" s="34">
        <v>837.60582099999999</v>
      </c>
      <c r="BB134" s="34">
        <v>778.62526949999994</v>
      </c>
      <c r="BC134" s="34">
        <v>805.03397960821997</v>
      </c>
      <c r="BD134" s="34">
        <v>848.279043</v>
      </c>
      <c r="BE134" s="34">
        <v>751.47288660000004</v>
      </c>
      <c r="BF134" s="34">
        <v>780.72356950000005</v>
      </c>
      <c r="BG134" s="34">
        <v>830.02151530000003</v>
      </c>
      <c r="BH134" s="34">
        <v>894.8047765</v>
      </c>
      <c r="BI134" s="34">
        <v>879.0431873</v>
      </c>
      <c r="BJ134" s="34">
        <v>862.4530188</v>
      </c>
    </row>
    <row r="135" spans="1:62">
      <c r="A135" s="1" t="s">
        <v>1125</v>
      </c>
      <c r="B135" s="34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828.42168030000005</v>
      </c>
      <c r="M135" s="34">
        <v>874.0663356</v>
      </c>
      <c r="N135" s="34">
        <v>975.75880089999998</v>
      </c>
      <c r="O135" s="34">
        <v>1143.6202029999999</v>
      </c>
      <c r="P135" s="34">
        <v>1245.3612250000001</v>
      </c>
      <c r="Q135" s="34">
        <v>1560.1121539999999</v>
      </c>
      <c r="R135" s="34">
        <v>1726.559448</v>
      </c>
      <c r="S135" s="34">
        <v>2037.8973370000001</v>
      </c>
      <c r="T135" s="34">
        <v>2558.7402550000002</v>
      </c>
      <c r="U135" s="34">
        <v>3195.5525859999998</v>
      </c>
      <c r="V135" s="34">
        <v>3948.4031260000002</v>
      </c>
      <c r="W135" s="34">
        <v>3898.2430370000002</v>
      </c>
      <c r="X135" s="34">
        <v>3788.050632</v>
      </c>
      <c r="Y135" s="34">
        <v>3527.04</v>
      </c>
      <c r="Z135" s="34">
        <v>3332.8853570000001</v>
      </c>
      <c r="AA135" s="34">
        <v>3322.4212830000001</v>
      </c>
      <c r="AB135" s="34">
        <v>4194.6539389999998</v>
      </c>
      <c r="AC135" s="34">
        <v>5083.6691389999996</v>
      </c>
      <c r="AD135" s="34">
        <v>5814.3647709999996</v>
      </c>
      <c r="AE135" s="34">
        <v>6040.6098620000002</v>
      </c>
      <c r="AF135" s="34">
        <v>7191.9236030000002</v>
      </c>
      <c r="AG135" s="34">
        <v>7558.2773829999996</v>
      </c>
      <c r="AH135" s="34">
        <v>8220.2455179999997</v>
      </c>
      <c r="AI135" s="34">
        <v>7296.310144</v>
      </c>
      <c r="AJ135" s="34">
        <v>8000.5180049999999</v>
      </c>
      <c r="AK135" s="34">
        <v>9857.4807710000005</v>
      </c>
      <c r="AL135" s="34">
        <v>10062.73358</v>
      </c>
      <c r="AM135" s="34">
        <v>9909.8944809999994</v>
      </c>
      <c r="AN135" s="34">
        <v>10409.30845</v>
      </c>
      <c r="AO135" s="34">
        <v>10633.60338</v>
      </c>
      <c r="AP135" s="34">
        <v>10432.32812</v>
      </c>
      <c r="AQ135" s="34">
        <v>10402.23337</v>
      </c>
      <c r="AR135" s="34">
        <v>11289.88984</v>
      </c>
      <c r="AS135" s="34">
        <v>13669.49712</v>
      </c>
      <c r="AT135" s="34">
        <v>15197.056710000001</v>
      </c>
      <c r="AU135" s="34">
        <v>15888.17232</v>
      </c>
      <c r="AV135" s="34">
        <v>16723.884180000001</v>
      </c>
      <c r="AW135" s="34">
        <v>19485.871190000002</v>
      </c>
      <c r="AX135" s="34">
        <v>22205.356810000001</v>
      </c>
      <c r="AY135" s="34">
        <v>21083.277150000002</v>
      </c>
      <c r="AZ135" s="34">
        <v>21799.17426</v>
      </c>
      <c r="BA135" s="34">
        <v>23155.554789999998</v>
      </c>
      <c r="BB135" s="34">
        <v>22527.636760000001</v>
      </c>
      <c r="BC135" s="34">
        <v>24771.0765781929</v>
      </c>
      <c r="BD135" s="34">
        <v>26754.26845</v>
      </c>
      <c r="BE135" s="34">
        <v>24921.60368</v>
      </c>
      <c r="BF135" s="34">
        <v>25741.446059999998</v>
      </c>
      <c r="BG135" s="34">
        <v>28250.697769999999</v>
      </c>
      <c r="BH135" s="34">
        <v>30672.292239999999</v>
      </c>
      <c r="BI135" s="34">
        <v>30186.195960000001</v>
      </c>
      <c r="BJ135" s="34">
        <v>27884.642830000001</v>
      </c>
    </row>
    <row r="136" spans="1:62">
      <c r="A136" s="1" t="s">
        <v>1190</v>
      </c>
      <c r="B136" s="34">
        <v>0</v>
      </c>
      <c r="C136" s="34">
        <v>58.42894596</v>
      </c>
      <c r="D136" s="34">
        <v>59.083706919999997</v>
      </c>
      <c r="E136" s="34">
        <v>63.403175390000001</v>
      </c>
      <c r="F136" s="34">
        <v>63.076786149999997</v>
      </c>
      <c r="G136" s="34">
        <v>62.313543129999999</v>
      </c>
      <c r="H136" s="34">
        <v>64.022128039999998</v>
      </c>
      <c r="I136" s="34">
        <v>64.913146749999996</v>
      </c>
      <c r="J136" s="34">
        <v>70.785132689999998</v>
      </c>
      <c r="K136" s="34">
        <v>75.908293560000004</v>
      </c>
      <c r="L136" s="34">
        <v>77.684259229999995</v>
      </c>
      <c r="M136" s="34">
        <v>77.853646990000001</v>
      </c>
      <c r="N136" s="34">
        <v>70.159906070000005</v>
      </c>
      <c r="O136" s="34">
        <v>75.805007950000004</v>
      </c>
      <c r="P136" s="34">
        <v>106.785247</v>
      </c>
      <c r="Q136" s="34">
        <v>117.6081935</v>
      </c>
      <c r="R136" s="34">
        <v>121.7445146</v>
      </c>
      <c r="S136" s="34">
        <v>128.16221730000001</v>
      </c>
      <c r="T136" s="34">
        <v>134.83896630000001</v>
      </c>
      <c r="U136" s="34">
        <v>152.1286164</v>
      </c>
      <c r="V136" s="34">
        <v>165.72339270000001</v>
      </c>
      <c r="W136" s="34">
        <v>165.40662589999999</v>
      </c>
      <c r="X136" s="34">
        <v>165.86070989999999</v>
      </c>
      <c r="Y136" s="34">
        <v>167.3220135</v>
      </c>
      <c r="Z136" s="34">
        <v>169.63078479999999</v>
      </c>
      <c r="AA136" s="34">
        <v>167.36722330000001</v>
      </c>
      <c r="AB136" s="34">
        <v>197.0613548</v>
      </c>
      <c r="AC136" s="34">
        <v>237.20128650000001</v>
      </c>
      <c r="AD136" s="34">
        <v>282.60114240000001</v>
      </c>
      <c r="AE136" s="34">
        <v>371.92530770000002</v>
      </c>
      <c r="AF136" s="34">
        <v>513.5467969</v>
      </c>
      <c r="AG136" s="34">
        <v>649.06908410000005</v>
      </c>
      <c r="AH136" s="34">
        <v>839.48951220000004</v>
      </c>
      <c r="AI136" s="34">
        <v>1156.9456829999999</v>
      </c>
      <c r="AJ136" s="34">
        <v>1586.0375329999999</v>
      </c>
      <c r="AK136" s="34">
        <v>2155.7709810000001</v>
      </c>
      <c r="AL136" s="34">
        <v>2677.165829</v>
      </c>
      <c r="AM136" s="34">
        <v>3447.0682400000001</v>
      </c>
      <c r="AN136" s="34">
        <v>4693.2760369999996</v>
      </c>
      <c r="AO136" s="34">
        <v>6562.5355399999999</v>
      </c>
      <c r="AP136" s="34">
        <v>7925.2559279999996</v>
      </c>
      <c r="AQ136" s="34">
        <v>9602.6383690000002</v>
      </c>
      <c r="AR136" s="34">
        <v>14316.962450000001</v>
      </c>
      <c r="AS136" s="34">
        <v>22108.755069999999</v>
      </c>
      <c r="AT136" s="34">
        <v>29454.753059999999</v>
      </c>
      <c r="AU136" s="34">
        <v>37990.620649999997</v>
      </c>
      <c r="AV136" s="34">
        <v>50103.090940000002</v>
      </c>
      <c r="AW136" s="34">
        <v>71132.711949999997</v>
      </c>
      <c r="AX136" s="34">
        <v>97823.663620000007</v>
      </c>
      <c r="AY136" s="34">
        <v>111128.35679999999</v>
      </c>
      <c r="AZ136" s="34">
        <v>129889.1464</v>
      </c>
      <c r="BA136" s="34">
        <v>154919.22219999999</v>
      </c>
      <c r="BB136" s="34">
        <v>2209.352124</v>
      </c>
      <c r="BC136" s="34">
        <v>1168.1654004228801</v>
      </c>
      <c r="BD136" s="34">
        <v>1210.097636</v>
      </c>
      <c r="BE136" s="34">
        <v>1196.7433570000001</v>
      </c>
      <c r="BF136" s="34">
        <v>1136.6106649999999</v>
      </c>
      <c r="BG136" s="34">
        <v>1151.114462</v>
      </c>
      <c r="BH136" s="34">
        <v>1250.173691</v>
      </c>
      <c r="BI136" s="34">
        <v>1271.1115749999999</v>
      </c>
      <c r="BJ136" s="34">
        <v>1467.6042809999999</v>
      </c>
    </row>
    <row r="137" spans="1:62">
      <c r="A137" s="1" t="s">
        <v>1128</v>
      </c>
      <c r="B137" s="34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1627.072633</v>
      </c>
      <c r="AQ137" s="34">
        <v>1909.598702</v>
      </c>
      <c r="AR137" s="34">
        <v>2106.635068</v>
      </c>
      <c r="AS137" s="34">
        <v>2789.1590649999998</v>
      </c>
      <c r="AT137" s="34">
        <v>3380.165121</v>
      </c>
      <c r="AU137" s="34">
        <v>3674.6179240000001</v>
      </c>
      <c r="AV137" s="34">
        <v>4425.6788729999998</v>
      </c>
      <c r="AW137" s="34">
        <v>5976.3941450000002</v>
      </c>
      <c r="AX137" s="34">
        <v>7367.7519089999996</v>
      </c>
      <c r="AY137" s="34">
        <v>6727.1077670000004</v>
      </c>
      <c r="AZ137" s="34">
        <v>6688.4823999999999</v>
      </c>
      <c r="BA137" s="34">
        <v>7328.9322519999996</v>
      </c>
      <c r="BB137" s="34">
        <v>6586.7212790000003</v>
      </c>
      <c r="BC137" s="34">
        <v>7186.4297868215399</v>
      </c>
      <c r="BD137" s="34">
        <v>7378.3452889999999</v>
      </c>
      <c r="BE137" s="34">
        <v>6514.2726949999997</v>
      </c>
      <c r="BF137" s="34">
        <v>7028.9365770000004</v>
      </c>
      <c r="BG137" s="34">
        <v>7784.0652899999995</v>
      </c>
      <c r="BH137" s="34">
        <v>8845.9142190000002</v>
      </c>
      <c r="BI137" s="34">
        <v>8910.650834</v>
      </c>
      <c r="BJ137" s="34">
        <v>7677.1522260000002</v>
      </c>
    </row>
    <row r="138" spans="1:62">
      <c r="A138" s="1" t="s">
        <v>307</v>
      </c>
      <c r="B138" s="34">
        <v>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4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1332.6405629999999</v>
      </c>
      <c r="X138" s="34">
        <v>1435.7670969999999</v>
      </c>
      <c r="Y138" s="34">
        <v>1495.0173890000001</v>
      </c>
      <c r="Z138" s="34">
        <v>1121.664763</v>
      </c>
      <c r="AA138" s="34">
        <v>1137.685618</v>
      </c>
      <c r="AB138" s="34">
        <v>1465.445436</v>
      </c>
      <c r="AC138" s="34">
        <v>1485.5337810000001</v>
      </c>
      <c r="AD138" s="34">
        <v>1533.4487079999999</v>
      </c>
      <c r="AE138" s="34">
        <v>1670.695211</v>
      </c>
      <c r="AF138" s="34">
        <v>1172.446287</v>
      </c>
      <c r="AG138" s="34">
        <v>1072.635835</v>
      </c>
      <c r="AH138" s="34">
        <v>587.30323169999997</v>
      </c>
      <c r="AI138" s="34">
        <v>339.52058690000001</v>
      </c>
      <c r="AJ138" s="34">
        <v>405.97554989999998</v>
      </c>
      <c r="AK138" s="34">
        <v>631.92091500000004</v>
      </c>
      <c r="AL138" s="34">
        <v>580.91009180000003</v>
      </c>
      <c r="AM138" s="34">
        <v>505.59230930000001</v>
      </c>
      <c r="AN138" s="34">
        <v>477.33412620000001</v>
      </c>
      <c r="AO138" s="34">
        <v>444.99458329999999</v>
      </c>
      <c r="AP138" s="34">
        <v>474.21709429999999</v>
      </c>
      <c r="AQ138" s="34">
        <v>524.05400840000004</v>
      </c>
      <c r="AR138" s="34">
        <v>571.59497899999997</v>
      </c>
      <c r="AS138" s="34">
        <v>646.19247099999995</v>
      </c>
      <c r="AT138" s="34">
        <v>797.97772629999997</v>
      </c>
      <c r="AU138" s="34">
        <v>998.82938799999999</v>
      </c>
      <c r="AV138" s="34">
        <v>1334.212724</v>
      </c>
      <c r="AW138" s="34">
        <v>1632.727582</v>
      </c>
      <c r="AX138" s="34">
        <v>2136.562402</v>
      </c>
      <c r="AY138" s="34">
        <v>1714.3618269999999</v>
      </c>
      <c r="AZ138" s="34">
        <v>2643.2870830000002</v>
      </c>
      <c r="BA138" s="34">
        <v>3757.565415</v>
      </c>
      <c r="BB138" s="34">
        <v>4351.8884609999996</v>
      </c>
      <c r="BC138" s="34">
        <v>4366.0895369957198</v>
      </c>
      <c r="BD138" s="34">
        <v>4158.521471</v>
      </c>
      <c r="BE138" s="34">
        <v>3875.3216750000001</v>
      </c>
      <c r="BF138" s="34">
        <v>3658.3903</v>
      </c>
      <c r="BG138" s="34">
        <v>3687.100003</v>
      </c>
      <c r="BH138" s="34">
        <v>4156.8469699999996</v>
      </c>
      <c r="BI138" s="34">
        <v>4404.8458300000002</v>
      </c>
      <c r="BJ138" s="34">
        <v>4060.9505180000001</v>
      </c>
    </row>
    <row r="139" spans="1:62">
      <c r="A139" s="1" t="s">
        <v>1191</v>
      </c>
      <c r="B139" s="34">
        <v>0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21981.78456</v>
      </c>
      <c r="AS139" s="34">
        <v>21379.024740000001</v>
      </c>
      <c r="AT139" s="34">
        <v>21139.063590000002</v>
      </c>
      <c r="AU139" s="34">
        <v>18763.15278</v>
      </c>
      <c r="AV139" s="34">
        <v>17714.63336</v>
      </c>
      <c r="AW139" s="34">
        <v>16988.137279999999</v>
      </c>
      <c r="AX139" s="34">
        <v>17191.190200000001</v>
      </c>
      <c r="AY139" s="34">
        <v>14669.52061</v>
      </c>
      <c r="AZ139" s="34">
        <v>14804.246730000001</v>
      </c>
      <c r="BA139" s="34">
        <v>13496.75078</v>
      </c>
      <c r="BB139" s="34">
        <v>13736.971970000001</v>
      </c>
      <c r="BC139" s="34">
        <v>14091.191180228499</v>
      </c>
      <c r="BD139" s="34">
        <v>15044.9359</v>
      </c>
      <c r="BE139" s="34">
        <v>16314.38355</v>
      </c>
      <c r="BF139" s="34">
        <v>21891.184789999999</v>
      </c>
      <c r="BG139" s="34">
        <v>27584.74351</v>
      </c>
      <c r="BH139" s="34">
        <v>22886.674050000001</v>
      </c>
      <c r="BI139" s="34">
        <v>20659.640289999999</v>
      </c>
      <c r="BJ139" s="34">
        <v>0</v>
      </c>
    </row>
    <row r="140" spans="1:62">
      <c r="A140" s="1" t="s">
        <v>1074</v>
      </c>
      <c r="B140" s="34">
        <v>0</v>
      </c>
      <c r="C140" s="34">
        <v>0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272.61390749999998</v>
      </c>
      <c r="AH140" s="34">
        <v>191.21783439999999</v>
      </c>
      <c r="AI140" s="34">
        <v>189.9352925</v>
      </c>
      <c r="AJ140" s="34">
        <v>187.08460160000001</v>
      </c>
      <c r="AK140" s="34">
        <v>187.29386819999999</v>
      </c>
      <c r="AL140" s="34">
        <v>241.64738790000001</v>
      </c>
      <c r="AM140" s="34">
        <v>283.5142141</v>
      </c>
      <c r="AN140" s="34">
        <v>313.06616070000001</v>
      </c>
      <c r="AO140" s="34">
        <v>346.57544919999998</v>
      </c>
      <c r="AP140" s="34">
        <v>319.35962080000002</v>
      </c>
      <c r="AQ140" s="34">
        <v>296.2684069</v>
      </c>
      <c r="AR140" s="34">
        <v>302.54523369999998</v>
      </c>
      <c r="AS140" s="34">
        <v>326.0751909</v>
      </c>
      <c r="AT140" s="34">
        <v>383.27022190000002</v>
      </c>
      <c r="AU140" s="34">
        <v>416.80982419999998</v>
      </c>
      <c r="AV140" s="34">
        <v>435.33406330000003</v>
      </c>
      <c r="AW140" s="34">
        <v>482.1985636</v>
      </c>
      <c r="AX140" s="34">
        <v>563.6496343</v>
      </c>
      <c r="AY140" s="34">
        <v>520.40263159999995</v>
      </c>
      <c r="AZ140" s="34">
        <v>471.90434329999999</v>
      </c>
      <c r="BA140" s="34">
        <v>594.58614709999995</v>
      </c>
      <c r="BB140" s="34">
        <v>657.64467649999995</v>
      </c>
      <c r="BC140" s="34">
        <v>664.077510357336</v>
      </c>
      <c r="BD140" s="34">
        <v>673.96921199999997</v>
      </c>
      <c r="BE140" s="34">
        <v>589.85905000000002</v>
      </c>
      <c r="BF140" s="34">
        <v>428.92667290000003</v>
      </c>
      <c r="BG140" s="34">
        <v>461.41509409999998</v>
      </c>
      <c r="BH140" s="34">
        <v>503.31792519999999</v>
      </c>
      <c r="BI140" s="34">
        <v>506.64163910000002</v>
      </c>
      <c r="BJ140" s="34">
        <v>448.5442807</v>
      </c>
    </row>
    <row r="141" spans="1:62">
      <c r="A141" s="1" t="s">
        <v>1068</v>
      </c>
      <c r="B141" s="34">
        <v>0</v>
      </c>
      <c r="C141" s="34">
        <v>181.83609609999999</v>
      </c>
      <c r="D141" s="34">
        <v>182.18189269999999</v>
      </c>
      <c r="E141" s="34">
        <v>181.0904764</v>
      </c>
      <c r="F141" s="34">
        <v>234.63335810000001</v>
      </c>
      <c r="G141" s="34">
        <v>258.99047960000001</v>
      </c>
      <c r="H141" s="34">
        <v>262.31226779999997</v>
      </c>
      <c r="I141" s="34">
        <v>269.83980200000002</v>
      </c>
      <c r="J141" s="34">
        <v>288.44180169999998</v>
      </c>
      <c r="K141" s="34">
        <v>265.16504450000002</v>
      </c>
      <c r="L141" s="34">
        <v>269.80449190000002</v>
      </c>
      <c r="M141" s="34">
        <v>283.98132520000001</v>
      </c>
      <c r="N141" s="34">
        <v>321.7148148</v>
      </c>
      <c r="O141" s="34">
        <v>393.28244999999998</v>
      </c>
      <c r="P141" s="34">
        <v>474.51920619999999</v>
      </c>
      <c r="Q141" s="34">
        <v>528.62003990000005</v>
      </c>
      <c r="R141" s="34">
        <v>565.57701280000003</v>
      </c>
      <c r="S141" s="34">
        <v>566.23030519999998</v>
      </c>
      <c r="T141" s="34">
        <v>553.76075119999996</v>
      </c>
      <c r="U141" s="34">
        <v>636.22342400000002</v>
      </c>
      <c r="V141" s="34">
        <v>680.18610990000002</v>
      </c>
      <c r="W141" s="34">
        <v>696.81573000000003</v>
      </c>
      <c r="X141" s="34">
        <v>678.70879119999995</v>
      </c>
      <c r="Y141" s="34">
        <v>692.78734169999996</v>
      </c>
      <c r="Z141" s="34">
        <v>620.76082929999995</v>
      </c>
      <c r="AA141" s="34">
        <v>567.2497793</v>
      </c>
      <c r="AB141" s="34">
        <v>648.54514210000002</v>
      </c>
      <c r="AC141" s="34">
        <v>715.34032649999995</v>
      </c>
      <c r="AD141" s="34">
        <v>732.97351000000003</v>
      </c>
      <c r="AE141" s="34">
        <v>731.9468971</v>
      </c>
      <c r="AF141" s="34">
        <v>740.73617130000002</v>
      </c>
      <c r="AG141" s="34">
        <v>1021.923446</v>
      </c>
      <c r="AH141" s="34">
        <v>1010.103031</v>
      </c>
      <c r="AI141" s="34">
        <v>840.26321659999996</v>
      </c>
      <c r="AJ141" s="34">
        <v>862.27422279999996</v>
      </c>
      <c r="AK141" s="34">
        <v>904.09072349999997</v>
      </c>
      <c r="AL141" s="34">
        <v>898.5131619</v>
      </c>
      <c r="AM141" s="34">
        <v>851.42552760000001</v>
      </c>
      <c r="AN141" s="34">
        <v>814.17033530000003</v>
      </c>
      <c r="AO141" s="34">
        <v>775.27201409999998</v>
      </c>
      <c r="AP141" s="34">
        <v>676.56902239999999</v>
      </c>
      <c r="AQ141" s="34">
        <v>646.1151155</v>
      </c>
      <c r="AR141" s="34">
        <v>639.66758289999996</v>
      </c>
      <c r="AS141" s="34">
        <v>717.89986759999999</v>
      </c>
      <c r="AT141" s="34">
        <v>803.77791560000003</v>
      </c>
      <c r="AU141" s="34">
        <v>970.84236069999997</v>
      </c>
      <c r="AV141" s="34">
        <v>1259.5415049999999</v>
      </c>
      <c r="AW141" s="34">
        <v>1357.1242850000001</v>
      </c>
      <c r="AX141" s="34">
        <v>1579.5115479999999</v>
      </c>
      <c r="AY141" s="34">
        <v>1389.3385330000001</v>
      </c>
      <c r="AZ141" s="34">
        <v>1610.921603</v>
      </c>
      <c r="BA141" s="34">
        <v>1879.7724720000001</v>
      </c>
      <c r="BB141" s="34">
        <v>1815.2189390000001</v>
      </c>
      <c r="BC141" s="34">
        <v>1892.09400026444</v>
      </c>
      <c r="BD141" s="34">
        <v>1677.109019</v>
      </c>
      <c r="BE141" s="34">
        <v>1524.0717529999999</v>
      </c>
      <c r="BF141" s="34">
        <v>1536.8548880000001</v>
      </c>
      <c r="BG141" s="34">
        <v>1587.611263</v>
      </c>
      <c r="BH141" s="34">
        <v>1670.2041650000001</v>
      </c>
      <c r="BI141" s="34">
        <v>1743.302901</v>
      </c>
      <c r="BJ141" s="34">
        <v>1701.9911629999999</v>
      </c>
    </row>
    <row r="142" spans="1:62">
      <c r="A142" s="1" t="s">
        <v>1069</v>
      </c>
      <c r="B142" s="34">
        <v>0</v>
      </c>
      <c r="C142" s="34">
        <v>0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4">
        <v>0</v>
      </c>
      <c r="Q142" s="34">
        <v>0</v>
      </c>
      <c r="R142" s="34">
        <v>776.64433410000004</v>
      </c>
      <c r="S142" s="34">
        <v>893.91495239999995</v>
      </c>
      <c r="T142" s="34">
        <v>1087.698161</v>
      </c>
      <c r="U142" s="34">
        <v>1275.035826</v>
      </c>
      <c r="V142" s="34">
        <v>1171.5760869999999</v>
      </c>
      <c r="W142" s="34">
        <v>1165.15842</v>
      </c>
      <c r="X142" s="34">
        <v>1086.5350249999999</v>
      </c>
      <c r="Y142" s="34">
        <v>1088.4364009999999</v>
      </c>
      <c r="Z142" s="34">
        <v>1027.9939750000001</v>
      </c>
      <c r="AA142" s="34">
        <v>1054.474835</v>
      </c>
      <c r="AB142" s="34">
        <v>1422.556552</v>
      </c>
      <c r="AC142" s="34">
        <v>1815.3514050000001</v>
      </c>
      <c r="AD142" s="34">
        <v>2046.047998</v>
      </c>
      <c r="AE142" s="34">
        <v>2075.538168</v>
      </c>
      <c r="AF142" s="34">
        <v>2506.1793120000002</v>
      </c>
      <c r="AG142" s="34">
        <v>2669.3276999999998</v>
      </c>
      <c r="AH142" s="34">
        <v>2973.2069769999998</v>
      </c>
      <c r="AI142" s="34">
        <v>2973.7978210000001</v>
      </c>
      <c r="AJ142" s="34">
        <v>3197.3310240000001</v>
      </c>
      <c r="AK142" s="34">
        <v>3599.555202</v>
      </c>
      <c r="AL142" s="34">
        <v>3899.4351919999999</v>
      </c>
      <c r="AM142" s="34">
        <v>3646.6306260000001</v>
      </c>
      <c r="AN142" s="34">
        <v>3593.2340810000001</v>
      </c>
      <c r="AO142" s="34">
        <v>3695.9349090000001</v>
      </c>
      <c r="AP142" s="34">
        <v>3929.075495</v>
      </c>
      <c r="AQ142" s="34">
        <v>3856.625227</v>
      </c>
      <c r="AR142" s="34">
        <v>4018.9488970000002</v>
      </c>
      <c r="AS142" s="34">
        <v>4793.7181790000004</v>
      </c>
      <c r="AT142" s="34">
        <v>5388.0657840000003</v>
      </c>
      <c r="AU142" s="34">
        <v>5282.9060220000001</v>
      </c>
      <c r="AV142" s="34">
        <v>5695.9693269999998</v>
      </c>
      <c r="AW142" s="34">
        <v>6574.6543380000003</v>
      </c>
      <c r="AX142" s="34">
        <v>8030.063005</v>
      </c>
      <c r="AY142" s="34">
        <v>7318.1264099999999</v>
      </c>
      <c r="AZ142" s="34">
        <v>8000.376432</v>
      </c>
      <c r="BA142" s="34">
        <v>9197.0269719999997</v>
      </c>
      <c r="BB142" s="34">
        <v>9291.2276189999993</v>
      </c>
      <c r="BC142" s="34">
        <v>9637.0026500095792</v>
      </c>
      <c r="BD142" s="34">
        <v>10153.93822</v>
      </c>
      <c r="BE142" s="34">
        <v>9260.4473030000008</v>
      </c>
      <c r="BF142" s="34">
        <v>9681.6185669999995</v>
      </c>
      <c r="BG142" s="34">
        <v>10484.908359999999</v>
      </c>
      <c r="BH142" s="34">
        <v>11208.34382</v>
      </c>
      <c r="BI142" s="34">
        <v>11097.16898</v>
      </c>
      <c r="BJ142" s="34">
        <v>8627.8431569999993</v>
      </c>
    </row>
    <row r="143" spans="1:62">
      <c r="A143" s="1" t="s">
        <v>1063</v>
      </c>
      <c r="B143" s="34">
        <v>44.523942990000002</v>
      </c>
      <c r="C143" s="34">
        <v>46.581585169999997</v>
      </c>
      <c r="D143" s="34">
        <v>47.698383909999997</v>
      </c>
      <c r="E143" s="34">
        <v>48.505428350000003</v>
      </c>
      <c r="F143" s="34">
        <v>48.293285349999998</v>
      </c>
      <c r="G143" s="34">
        <v>55.498224409999999</v>
      </c>
      <c r="H143" s="34">
        <v>61.407638400000003</v>
      </c>
      <c r="I143" s="34">
        <v>62.01992808</v>
      </c>
      <c r="J143" s="34">
        <v>54.916298730000001</v>
      </c>
      <c r="K143" s="34">
        <v>58.009429189999999</v>
      </c>
      <c r="L143" s="34">
        <v>61.765523889999997</v>
      </c>
      <c r="M143" s="34">
        <v>75.663692019999999</v>
      </c>
      <c r="N143" s="34">
        <v>81.891355919999995</v>
      </c>
      <c r="O143" s="34">
        <v>87.22748953</v>
      </c>
      <c r="P143" s="34">
        <v>104.7971848</v>
      </c>
      <c r="Q143" s="34">
        <v>113.8799734</v>
      </c>
      <c r="R143" s="34">
        <v>120.8726248</v>
      </c>
      <c r="S143" s="34">
        <v>141.01037550000001</v>
      </c>
      <c r="T143" s="34">
        <v>160.9387662</v>
      </c>
      <c r="U143" s="34">
        <v>174.18676300000001</v>
      </c>
      <c r="V143" s="34">
        <v>198.0111239</v>
      </c>
      <c r="W143" s="34">
        <v>193.01502590000001</v>
      </c>
      <c r="X143" s="34">
        <v>179.7299592</v>
      </c>
      <c r="Y143" s="34">
        <v>181.53764279999999</v>
      </c>
      <c r="Z143" s="34">
        <v>173.44954920000001</v>
      </c>
      <c r="AA143" s="34">
        <v>155.65569830000001</v>
      </c>
      <c r="AB143" s="34">
        <v>154.39533180000001</v>
      </c>
      <c r="AC143" s="34">
        <v>145.32290660000001</v>
      </c>
      <c r="AD143" s="34">
        <v>159.7747397</v>
      </c>
      <c r="AE143" s="34">
        <v>175.21940029999999</v>
      </c>
      <c r="AF143" s="34">
        <v>199.9863636</v>
      </c>
      <c r="AG143" s="34">
        <v>229.52739550000001</v>
      </c>
      <c r="AH143" s="34">
        <v>185.7858674</v>
      </c>
      <c r="AI143" s="34">
        <v>213.24052520000001</v>
      </c>
      <c r="AJ143" s="34">
        <v>121.26406540000001</v>
      </c>
      <c r="AK143" s="34">
        <v>141.95434739999999</v>
      </c>
      <c r="AL143" s="34">
        <v>227.58490639999999</v>
      </c>
      <c r="AM143" s="34">
        <v>259.45049410000001</v>
      </c>
      <c r="AN143" s="34">
        <v>165.89528350000001</v>
      </c>
      <c r="AO143" s="34">
        <v>163.61420150000001</v>
      </c>
      <c r="AP143" s="34">
        <v>156.38581679999999</v>
      </c>
      <c r="AQ143" s="34">
        <v>150.1489426</v>
      </c>
      <c r="AR143" s="34">
        <v>298.43341040000001</v>
      </c>
      <c r="AS143" s="34">
        <v>267.3990119</v>
      </c>
      <c r="AT143" s="34">
        <v>282.56710759999999</v>
      </c>
      <c r="AU143" s="34">
        <v>289.55521479999999</v>
      </c>
      <c r="AV143" s="34">
        <v>308.16361819999997</v>
      </c>
      <c r="AW143" s="34">
        <v>332.25909460000003</v>
      </c>
      <c r="AX143" s="34">
        <v>387.6057212</v>
      </c>
      <c r="AY143" s="34">
        <v>438.21185680000002</v>
      </c>
      <c r="AZ143" s="34">
        <v>478.66868849999997</v>
      </c>
      <c r="BA143" s="34">
        <v>534.95105020000005</v>
      </c>
      <c r="BB143" s="34">
        <v>391.56170520000001</v>
      </c>
      <c r="BC143" s="34">
        <v>348.42987367926099</v>
      </c>
      <c r="BD143" s="34">
        <v>371.26952169999998</v>
      </c>
      <c r="BE143" s="34">
        <v>380.5969877</v>
      </c>
      <c r="BF143" s="34">
        <v>315.77798710000002</v>
      </c>
      <c r="BG143" s="34">
        <v>506.13729439999997</v>
      </c>
      <c r="BH143" s="34">
        <v>544.59343539999998</v>
      </c>
      <c r="BI143" s="34">
        <v>591.84638959999995</v>
      </c>
      <c r="BJ143" s="34">
        <v>636.82053680000001</v>
      </c>
    </row>
    <row r="144" spans="1:62">
      <c r="A144" s="1" t="s">
        <v>214</v>
      </c>
      <c r="B144" s="34">
        <v>234.9388974</v>
      </c>
      <c r="C144" s="34">
        <v>225.9335935</v>
      </c>
      <c r="D144" s="34">
        <v>230.26059369999999</v>
      </c>
      <c r="E144" s="34">
        <v>279.71754049999998</v>
      </c>
      <c r="F144" s="34">
        <v>289.00922780000002</v>
      </c>
      <c r="G144" s="34">
        <v>310.3279258</v>
      </c>
      <c r="H144" s="34">
        <v>321.09416049999999</v>
      </c>
      <c r="I144" s="34">
        <v>317.42421050000002</v>
      </c>
      <c r="J144" s="34">
        <v>323.4024867</v>
      </c>
      <c r="K144" s="34">
        <v>347.37309420000003</v>
      </c>
      <c r="L144" s="34">
        <v>357.65679940000001</v>
      </c>
      <c r="M144" s="34">
        <v>383.67147169999998</v>
      </c>
      <c r="N144" s="34">
        <v>445.35015779999998</v>
      </c>
      <c r="O144" s="34">
        <v>661.02269100000001</v>
      </c>
      <c r="P144" s="34">
        <v>799.93197889999999</v>
      </c>
      <c r="Q144" s="34">
        <v>764.56637860000001</v>
      </c>
      <c r="R144" s="34">
        <v>886.23004319999995</v>
      </c>
      <c r="S144" s="34">
        <v>1027.292911</v>
      </c>
      <c r="T144" s="34">
        <v>1246.558309</v>
      </c>
      <c r="U144" s="34">
        <v>1576.048806</v>
      </c>
      <c r="V144" s="34">
        <v>1774.7402970000001</v>
      </c>
      <c r="W144" s="34">
        <v>1769.0994020000001</v>
      </c>
      <c r="X144" s="34">
        <v>1852.256484</v>
      </c>
      <c r="Y144" s="34">
        <v>2047.7702879999999</v>
      </c>
      <c r="Z144" s="34">
        <v>2234.257204</v>
      </c>
      <c r="AA144" s="34">
        <v>2000.1482860000001</v>
      </c>
      <c r="AB144" s="34">
        <v>1728.6848050000001</v>
      </c>
      <c r="AC144" s="34">
        <v>1947.8082380000001</v>
      </c>
      <c r="AD144" s="34">
        <v>2072.0776860000001</v>
      </c>
      <c r="AE144" s="34">
        <v>2216.250446</v>
      </c>
      <c r="AF144" s="34">
        <v>2441.7419909999999</v>
      </c>
      <c r="AG144" s="34">
        <v>2653.5261690000002</v>
      </c>
      <c r="AH144" s="34">
        <v>3113.645677</v>
      </c>
      <c r="AI144" s="34">
        <v>3433.1627870000002</v>
      </c>
      <c r="AJ144" s="34">
        <v>3728.1104810000002</v>
      </c>
      <c r="AK144" s="34">
        <v>4329.7079979999999</v>
      </c>
      <c r="AL144" s="34">
        <v>4798.6117700000004</v>
      </c>
      <c r="AM144" s="34">
        <v>4637.8656609999998</v>
      </c>
      <c r="AN144" s="34">
        <v>3263.334883</v>
      </c>
      <c r="AO144" s="34">
        <v>3492.6701250000001</v>
      </c>
      <c r="AP144" s="34">
        <v>4043.6629229999999</v>
      </c>
      <c r="AQ144" s="34">
        <v>3913.4293859999998</v>
      </c>
      <c r="AR144" s="34">
        <v>4165.7261040000003</v>
      </c>
      <c r="AS144" s="34">
        <v>4461.8473249999997</v>
      </c>
      <c r="AT144" s="34">
        <v>4952.2139580000003</v>
      </c>
      <c r="AU144" s="34">
        <v>5587.0247799999997</v>
      </c>
      <c r="AV144" s="34">
        <v>6209.1261670000004</v>
      </c>
      <c r="AW144" s="34">
        <v>7243.4568010000003</v>
      </c>
      <c r="AX144" s="34">
        <v>8474.5877619999992</v>
      </c>
      <c r="AY144" s="34">
        <v>7292.4949729999998</v>
      </c>
      <c r="AZ144" s="34">
        <v>9040.5684949999995</v>
      </c>
      <c r="BA144" s="34">
        <v>10399.370209999999</v>
      </c>
      <c r="BB144" s="34">
        <v>10817.431710000001</v>
      </c>
      <c r="BC144" s="34">
        <v>10970.104299603299</v>
      </c>
      <c r="BD144" s="34">
        <v>11319.06194</v>
      </c>
      <c r="BE144" s="34">
        <v>9955.2427220000009</v>
      </c>
      <c r="BF144" s="34">
        <v>9817.7870899999998</v>
      </c>
      <c r="BG144" s="34">
        <v>10259.30481</v>
      </c>
      <c r="BH144" s="34">
        <v>11380.08209</v>
      </c>
      <c r="BI144" s="34">
        <v>11432.823</v>
      </c>
      <c r="BJ144" s="34">
        <v>10412.348980000001</v>
      </c>
    </row>
    <row r="145" spans="1:62">
      <c r="A145" s="1" t="s">
        <v>1192</v>
      </c>
      <c r="B145" s="34">
        <v>2939.448335</v>
      </c>
      <c r="C145" s="34">
        <v>2991.592897</v>
      </c>
      <c r="D145" s="34">
        <v>3155.097538</v>
      </c>
      <c r="E145" s="34">
        <v>3283.1414530000002</v>
      </c>
      <c r="F145" s="34">
        <v>3480.4269450000002</v>
      </c>
      <c r="G145" s="34">
        <v>3729.9697040000001</v>
      </c>
      <c r="H145" s="34">
        <v>4044.2472149999999</v>
      </c>
      <c r="I145" s="34">
        <v>4231.8673509999999</v>
      </c>
      <c r="J145" s="34">
        <v>4579.9822599999998</v>
      </c>
      <c r="K145" s="34">
        <v>4912.4875949999996</v>
      </c>
      <c r="L145" s="34">
        <v>5129.0918439999996</v>
      </c>
      <c r="M145" s="34">
        <v>5504.815818</v>
      </c>
      <c r="N145" s="34">
        <v>5997.4856319999999</v>
      </c>
      <c r="O145" s="34">
        <v>6640.8059880000001</v>
      </c>
      <c r="P145" s="34">
        <v>7206.8167970000004</v>
      </c>
      <c r="Q145" s="34">
        <v>7773.0846890000003</v>
      </c>
      <c r="R145" s="34">
        <v>8613.0289890000004</v>
      </c>
      <c r="S145" s="34">
        <v>9400.4658369999997</v>
      </c>
      <c r="T145" s="34">
        <v>10424.52908</v>
      </c>
      <c r="U145" s="34">
        <v>11515.45602</v>
      </c>
      <c r="V145" s="34">
        <v>12437.7765</v>
      </c>
      <c r="W145" s="34">
        <v>13816.079390000001</v>
      </c>
      <c r="X145" s="34">
        <v>14242.84546</v>
      </c>
      <c r="Y145" s="34">
        <v>15336.630230000001</v>
      </c>
      <c r="Z145" s="34">
        <v>16803.689880000002</v>
      </c>
      <c r="AA145" s="34">
        <v>17833.07274</v>
      </c>
      <c r="AB145" s="34">
        <v>18619.66329</v>
      </c>
      <c r="AC145" s="34">
        <v>19672.459439999999</v>
      </c>
      <c r="AD145" s="34">
        <v>21172.753390000002</v>
      </c>
      <c r="AE145" s="34">
        <v>22644.656500000001</v>
      </c>
      <c r="AF145" s="34">
        <v>23645.614310000001</v>
      </c>
      <c r="AG145" s="34">
        <v>24086.21645</v>
      </c>
      <c r="AH145" s="34">
        <v>24967.706320000001</v>
      </c>
      <c r="AI145" s="34">
        <v>25765.541550000002</v>
      </c>
      <c r="AJ145" s="34">
        <v>26925.461510000001</v>
      </c>
      <c r="AK145" s="34">
        <v>27891.387439999999</v>
      </c>
      <c r="AL145" s="34">
        <v>29105.32086</v>
      </c>
      <c r="AM145" s="34">
        <v>30518.03962</v>
      </c>
      <c r="AN145" s="34">
        <v>31691.91778</v>
      </c>
      <c r="AO145" s="34">
        <v>33319.273560000001</v>
      </c>
      <c r="AP145" s="34">
        <v>35155.795639999997</v>
      </c>
      <c r="AQ145" s="34">
        <v>35831.036469999999</v>
      </c>
      <c r="AR145" s="34">
        <v>36674.728779999998</v>
      </c>
      <c r="AS145" s="34">
        <v>38400.82056</v>
      </c>
      <c r="AT145" s="34">
        <v>40777.428670000001</v>
      </c>
      <c r="AU145" s="34">
        <v>43360.446530000001</v>
      </c>
      <c r="AV145" s="34">
        <v>45738.085489999998</v>
      </c>
      <c r="AW145" s="34">
        <v>47660.548329999998</v>
      </c>
      <c r="AX145" s="34">
        <v>48229.126210000002</v>
      </c>
      <c r="AY145" s="34">
        <v>46495.718739999997</v>
      </c>
      <c r="AZ145" s="34">
        <v>48387.210930000001</v>
      </c>
      <c r="BA145" s="34">
        <v>50123.853580000003</v>
      </c>
      <c r="BB145" s="34">
        <v>51717.78701</v>
      </c>
      <c r="BC145" s="34">
        <v>53068.032546246599</v>
      </c>
      <c r="BD145" s="34">
        <v>54648.019339999999</v>
      </c>
      <c r="BE145" s="34">
        <v>55542.966070000002</v>
      </c>
      <c r="BF145" s="34">
        <v>56451.517500000002</v>
      </c>
      <c r="BG145" s="34">
        <v>58605.344290000001</v>
      </c>
      <c r="BH145" s="34">
        <v>61381.719850000001</v>
      </c>
      <c r="BI145" s="34">
        <v>63341.783640000001</v>
      </c>
      <c r="BJ145" s="34">
        <v>61337.0311</v>
      </c>
    </row>
    <row r="146" spans="1:62">
      <c r="A146" s="1" t="s">
        <v>1076</v>
      </c>
      <c r="B146" s="34">
        <v>0</v>
      </c>
      <c r="C146" s="34">
        <v>0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2289.9152939999999</v>
      </c>
      <c r="W146" s="34">
        <v>2081.3911069999999</v>
      </c>
      <c r="X146" s="34">
        <v>1917.234383</v>
      </c>
      <c r="Y146" s="34">
        <v>2030.180243</v>
      </c>
      <c r="Z146" s="34">
        <v>1678.791909</v>
      </c>
      <c r="AA146" s="34">
        <v>1342.2531839999999</v>
      </c>
      <c r="AB146" s="34">
        <v>1459.0211340000001</v>
      </c>
      <c r="AC146" s="34">
        <v>1787.467087</v>
      </c>
      <c r="AD146" s="34">
        <v>1866.7980709999999</v>
      </c>
      <c r="AE146" s="34">
        <v>1829.0717500000001</v>
      </c>
      <c r="AF146" s="34">
        <v>1947.062911</v>
      </c>
      <c r="AG146" s="34">
        <v>2029.861549</v>
      </c>
      <c r="AH146" s="34">
        <v>2260.8103590000001</v>
      </c>
      <c r="AI146" s="34">
        <v>2090.6917899999999</v>
      </c>
      <c r="AJ146" s="34">
        <v>2303.330555</v>
      </c>
      <c r="AK146" s="34">
        <v>2443.9958529999999</v>
      </c>
      <c r="AL146" s="34">
        <v>2398.257439</v>
      </c>
      <c r="AM146" s="34">
        <v>2446.928578</v>
      </c>
      <c r="AN146" s="34">
        <v>2236.6715020000001</v>
      </c>
      <c r="AO146" s="34">
        <v>2193.2236149999999</v>
      </c>
      <c r="AP146" s="34">
        <v>2185.6041150000001</v>
      </c>
      <c r="AQ146" s="34">
        <v>1950.6485359999999</v>
      </c>
      <c r="AR146" s="34">
        <v>1808.8848989999999</v>
      </c>
      <c r="AS146" s="34">
        <v>2621.7003949999998</v>
      </c>
      <c r="AT146" s="34">
        <v>3464.4182259999998</v>
      </c>
      <c r="AU146" s="34">
        <v>3739.5317169999998</v>
      </c>
      <c r="AV146" s="34">
        <v>4059.1013480000001</v>
      </c>
      <c r="AW146" s="34">
        <v>4405.4103990000003</v>
      </c>
      <c r="AX146" s="34">
        <v>4212.3671969999996</v>
      </c>
      <c r="AY146" s="34">
        <v>4295.3871429999999</v>
      </c>
      <c r="AZ146" s="34">
        <v>5394.9967120000001</v>
      </c>
      <c r="BA146" s="34">
        <v>5806.7482460000001</v>
      </c>
      <c r="BB146" s="34">
        <v>5942.2927399999999</v>
      </c>
      <c r="BC146" s="34">
        <v>5392.0949382563404</v>
      </c>
      <c r="BD146" s="34">
        <v>5469.9013999999997</v>
      </c>
      <c r="BE146" s="34">
        <v>4896.6152599999996</v>
      </c>
      <c r="BF146" s="34">
        <v>4546.986688</v>
      </c>
      <c r="BG146" s="34">
        <v>5367.1146740000004</v>
      </c>
      <c r="BH146" s="34">
        <v>5588.3928640000004</v>
      </c>
      <c r="BI146" s="34">
        <v>5009.6859039999999</v>
      </c>
      <c r="BJ146" s="34">
        <v>4179.2780659999999</v>
      </c>
    </row>
    <row r="147" spans="1:62">
      <c r="A147" s="1" t="s">
        <v>1193</v>
      </c>
      <c r="B147" s="34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1763.4750529999999</v>
      </c>
      <c r="H147" s="34">
        <v>1756.2196389999999</v>
      </c>
      <c r="I147" s="34">
        <v>1865.665984</v>
      </c>
      <c r="J147" s="34">
        <v>2165.9011289999999</v>
      </c>
      <c r="K147" s="34">
        <v>2529.892703</v>
      </c>
      <c r="L147" s="34">
        <v>3203.7114620000002</v>
      </c>
      <c r="M147" s="34">
        <v>3449.8814809999999</v>
      </c>
      <c r="N147" s="34">
        <v>4038.3187010000001</v>
      </c>
      <c r="O147" s="34">
        <v>4220.1821010000003</v>
      </c>
      <c r="P147" s="34">
        <v>4865.6754179999998</v>
      </c>
      <c r="Q147" s="34">
        <v>6163.4125830000003</v>
      </c>
      <c r="R147" s="34">
        <v>5957.5636169999998</v>
      </c>
      <c r="S147" s="34">
        <v>6158.9715249999999</v>
      </c>
      <c r="T147" s="34">
        <v>6152.7613979999996</v>
      </c>
      <c r="U147" s="34">
        <v>7561.1965659999996</v>
      </c>
      <c r="V147" s="34">
        <v>8443.1557209999992</v>
      </c>
      <c r="W147" s="34">
        <v>6817.8349589999998</v>
      </c>
      <c r="X147" s="34">
        <v>6208.6470250000002</v>
      </c>
      <c r="Y147" s="34">
        <v>5540.4027859999997</v>
      </c>
      <c r="Z147" s="34">
        <v>5249.3649379999997</v>
      </c>
      <c r="AA147" s="34">
        <v>5534.6124579999996</v>
      </c>
      <c r="AB147" s="34">
        <v>7634.7093059999997</v>
      </c>
      <c r="AC147" s="34">
        <v>9271.6081279999999</v>
      </c>
      <c r="AD147" s="34">
        <v>12665.90595</v>
      </c>
      <c r="AE147" s="34">
        <v>13092.325510000001</v>
      </c>
      <c r="AF147" s="34">
        <v>14800.79125</v>
      </c>
      <c r="AG147" s="34">
        <v>15133.156999999999</v>
      </c>
      <c r="AH147" s="34">
        <v>16261.955239999999</v>
      </c>
      <c r="AI147" s="34">
        <v>15297.04587</v>
      </c>
      <c r="AJ147" s="34">
        <v>16037.029329999999</v>
      </c>
      <c r="AK147" s="34">
        <v>18721.05773</v>
      </c>
      <c r="AL147" s="34">
        <v>18257.215059999999</v>
      </c>
      <c r="AM147" s="34">
        <v>16339.80724</v>
      </c>
      <c r="AN147" s="34">
        <v>17324.25058</v>
      </c>
      <c r="AO147" s="34">
        <v>17435.745439999999</v>
      </c>
      <c r="AP147" s="34">
        <v>16039.169169999999</v>
      </c>
      <c r="AQ147" s="34">
        <v>15174.27843</v>
      </c>
      <c r="AR147" s="34">
        <v>16885.894400000001</v>
      </c>
      <c r="AS147" s="34">
        <v>21817.31511</v>
      </c>
      <c r="AT147" s="34">
        <v>25770.531080000001</v>
      </c>
      <c r="AU147" s="34">
        <v>26861.69844</v>
      </c>
      <c r="AV147" s="34">
        <v>29604.052640000002</v>
      </c>
      <c r="AW147" s="34">
        <v>36864.857620000002</v>
      </c>
      <c r="AX147" s="34">
        <v>37353.737300000001</v>
      </c>
      <c r="AY147" s="34">
        <v>35391.087870000003</v>
      </c>
      <c r="AZ147" s="34">
        <v>37494.89516</v>
      </c>
      <c r="BA147" s="34">
        <v>40697.65294</v>
      </c>
      <c r="BB147" s="34">
        <v>37294.022810000002</v>
      </c>
      <c r="BC147" s="34">
        <v>38503.253847205298</v>
      </c>
      <c r="BD147" s="34">
        <v>39675.566310000002</v>
      </c>
      <c r="BE147" s="34">
        <v>32520.294160000001</v>
      </c>
      <c r="BF147" s="34">
        <v>32391.197219999998</v>
      </c>
      <c r="BG147" s="34">
        <v>33976.555549999997</v>
      </c>
      <c r="BH147" s="34">
        <v>36382.487659999999</v>
      </c>
      <c r="BI147" s="34">
        <v>34788.529280000002</v>
      </c>
      <c r="BJ147" s="34">
        <v>0</v>
      </c>
    </row>
    <row r="148" spans="1:62">
      <c r="A148" s="1" t="s">
        <v>1079</v>
      </c>
      <c r="B148" s="34">
        <v>132.651771</v>
      </c>
      <c r="C148" s="34">
        <v>139.34032339999999</v>
      </c>
      <c r="D148" s="34">
        <v>148.18915989999999</v>
      </c>
      <c r="E148" s="34">
        <v>158.71606449999999</v>
      </c>
      <c r="F148" s="34">
        <v>153.25971699999999</v>
      </c>
      <c r="G148" s="34">
        <v>172.03967900000001</v>
      </c>
      <c r="H148" s="34">
        <v>174.35491300000001</v>
      </c>
      <c r="I148" s="34">
        <v>160.59183089999999</v>
      </c>
      <c r="J148" s="34">
        <v>150.38121229999999</v>
      </c>
      <c r="K148" s="34">
        <v>142.69918490000001</v>
      </c>
      <c r="L148" s="34">
        <v>144.0850939</v>
      </c>
      <c r="M148" s="34">
        <v>149.54204139999999</v>
      </c>
      <c r="N148" s="34">
        <v>155.77699050000001</v>
      </c>
      <c r="O148" s="34">
        <v>193.05505539999999</v>
      </c>
      <c r="P148" s="34">
        <v>203.56649590000001</v>
      </c>
      <c r="Q148" s="34">
        <v>202.25710100000001</v>
      </c>
      <c r="R148" s="34">
        <v>199.53158640000001</v>
      </c>
      <c r="S148" s="34">
        <v>235.1886384</v>
      </c>
      <c r="T148" s="34">
        <v>313.89944639999999</v>
      </c>
      <c r="U148" s="34">
        <v>362.49596380000003</v>
      </c>
      <c r="V148" s="34">
        <v>418.85526570000002</v>
      </c>
      <c r="W148" s="34">
        <v>352.20552020000002</v>
      </c>
      <c r="X148" s="34">
        <v>318.0582306</v>
      </c>
      <c r="Y148" s="34">
        <v>276.18279990000002</v>
      </c>
      <c r="Z148" s="34">
        <v>217.469236</v>
      </c>
      <c r="AA148" s="34">
        <v>208.2971058</v>
      </c>
      <c r="AB148" s="34">
        <v>267.47124309999998</v>
      </c>
      <c r="AC148" s="34">
        <v>304.68357639999999</v>
      </c>
      <c r="AD148" s="34">
        <v>302.09681219999999</v>
      </c>
      <c r="AE148" s="34">
        <v>280.14129989999998</v>
      </c>
      <c r="AF148" s="34">
        <v>437.58999499999999</v>
      </c>
      <c r="AG148" s="34">
        <v>396.41699180000001</v>
      </c>
      <c r="AH148" s="34">
        <v>395.27516279999998</v>
      </c>
      <c r="AI148" s="34">
        <v>344.53400629999999</v>
      </c>
      <c r="AJ148" s="34">
        <v>211.3864925</v>
      </c>
      <c r="AK148" s="34">
        <v>242.62039669999999</v>
      </c>
      <c r="AL148" s="34">
        <v>244.81377900000001</v>
      </c>
      <c r="AM148" s="34">
        <v>225.02207659999999</v>
      </c>
      <c r="AN148" s="34">
        <v>250.6574617</v>
      </c>
      <c r="AO148" s="34">
        <v>232.18738640000001</v>
      </c>
      <c r="AP148" s="34">
        <v>197.83268340000001</v>
      </c>
      <c r="AQ148" s="34">
        <v>208.37705990000001</v>
      </c>
      <c r="AR148" s="34">
        <v>228.23590859999999</v>
      </c>
      <c r="AS148" s="34">
        <v>268.34989300000001</v>
      </c>
      <c r="AT148" s="34">
        <v>286.49006580000002</v>
      </c>
      <c r="AU148" s="34">
        <v>321.72366119999998</v>
      </c>
      <c r="AV148" s="34">
        <v>336.28195030000001</v>
      </c>
      <c r="AW148" s="34">
        <v>390.28448020000002</v>
      </c>
      <c r="AX148" s="34">
        <v>478.50255900000002</v>
      </c>
      <c r="AY148" s="34">
        <v>464.057999</v>
      </c>
      <c r="AZ148" s="34">
        <v>476.86953219999998</v>
      </c>
      <c r="BA148" s="34">
        <v>512.59533499999998</v>
      </c>
      <c r="BB148" s="34">
        <v>529.74445809999997</v>
      </c>
      <c r="BC148" s="34">
        <v>552.569138963417</v>
      </c>
      <c r="BD148" s="34">
        <v>564.5967488</v>
      </c>
      <c r="BE148" s="34">
        <v>484.15313739999999</v>
      </c>
      <c r="BF148" s="34">
        <v>500.21491129999998</v>
      </c>
      <c r="BG148" s="34">
        <v>517.7715723</v>
      </c>
      <c r="BH148" s="34">
        <v>570.72392200000002</v>
      </c>
      <c r="BI148" s="34">
        <v>554.09938929999998</v>
      </c>
      <c r="BJ148" s="34">
        <v>567.66989230000001</v>
      </c>
    </row>
    <row r="149" spans="1:62">
      <c r="A149" s="1" t="s">
        <v>1080</v>
      </c>
      <c r="B149" s="34">
        <v>92.960465600000006</v>
      </c>
      <c r="C149" s="34">
        <v>96.979029980000007</v>
      </c>
      <c r="D149" s="34">
        <v>104.3870285</v>
      </c>
      <c r="E149" s="34">
        <v>107.5405726</v>
      </c>
      <c r="F149" s="34">
        <v>113.1687166</v>
      </c>
      <c r="G149" s="34">
        <v>117.1886348</v>
      </c>
      <c r="H149" s="34">
        <v>124.30779250000001</v>
      </c>
      <c r="I149" s="34">
        <v>99.40607876</v>
      </c>
      <c r="J149" s="34">
        <v>97.201742690000003</v>
      </c>
      <c r="K149" s="34">
        <v>121.245373</v>
      </c>
      <c r="L149" s="34">
        <v>224.1044847</v>
      </c>
      <c r="M149" s="34">
        <v>160.2487361</v>
      </c>
      <c r="N149" s="34">
        <v>209.22604480000001</v>
      </c>
      <c r="O149" s="34">
        <v>252.23269389999999</v>
      </c>
      <c r="P149" s="34">
        <v>402.84991230000003</v>
      </c>
      <c r="Q149" s="34">
        <v>438.33130219999998</v>
      </c>
      <c r="R149" s="34">
        <v>556.7021704</v>
      </c>
      <c r="S149" s="34">
        <v>536.21617890000005</v>
      </c>
      <c r="T149" s="34">
        <v>527.31128060000003</v>
      </c>
      <c r="U149" s="34">
        <v>662.26396090000003</v>
      </c>
      <c r="V149" s="34">
        <v>874.40207099999998</v>
      </c>
      <c r="W149" s="34">
        <v>2180.1976209999998</v>
      </c>
      <c r="X149" s="34">
        <v>1843.909353</v>
      </c>
      <c r="Y149" s="34">
        <v>1222.629304</v>
      </c>
      <c r="Z149" s="34">
        <v>902.21584989999997</v>
      </c>
      <c r="AA149" s="34">
        <v>882.52000099999998</v>
      </c>
      <c r="AB149" s="34">
        <v>639.01312329999996</v>
      </c>
      <c r="AC149" s="34">
        <v>598.26486209999996</v>
      </c>
      <c r="AD149" s="34">
        <v>549.23743300000001</v>
      </c>
      <c r="AE149" s="34">
        <v>474.23204090000002</v>
      </c>
      <c r="AF149" s="34">
        <v>567.52864899999997</v>
      </c>
      <c r="AG149" s="34">
        <v>502.91413890000001</v>
      </c>
      <c r="AH149" s="34">
        <v>477.17762379999999</v>
      </c>
      <c r="AI149" s="34">
        <v>270.22396670000001</v>
      </c>
      <c r="AJ149" s="34">
        <v>321.32067410000002</v>
      </c>
      <c r="AK149" s="34">
        <v>408.1810448</v>
      </c>
      <c r="AL149" s="34">
        <v>461.5196196</v>
      </c>
      <c r="AM149" s="34">
        <v>479.98376409999997</v>
      </c>
      <c r="AN149" s="34">
        <v>469.43054869999997</v>
      </c>
      <c r="AO149" s="34">
        <v>497.84157390000001</v>
      </c>
      <c r="AP149" s="34">
        <v>567.93072210000003</v>
      </c>
      <c r="AQ149" s="34">
        <v>590.38181499999996</v>
      </c>
      <c r="AR149" s="34">
        <v>741.74749389999999</v>
      </c>
      <c r="AS149" s="34">
        <v>795.38622869999995</v>
      </c>
      <c r="AT149" s="34">
        <v>1007.874342</v>
      </c>
      <c r="AU149" s="34">
        <v>1268.383462</v>
      </c>
      <c r="AV149" s="34">
        <v>1656.424794</v>
      </c>
      <c r="AW149" s="34">
        <v>1883.4613879999999</v>
      </c>
      <c r="AX149" s="34">
        <v>2259.114059</v>
      </c>
      <c r="AY149" s="34">
        <v>1911.6078660000001</v>
      </c>
      <c r="AZ149" s="34">
        <v>2280.4373369999998</v>
      </c>
      <c r="BA149" s="34">
        <v>2487.5980169999998</v>
      </c>
      <c r="BB149" s="34">
        <v>2723.8221910000002</v>
      </c>
      <c r="BC149" s="34">
        <v>2961.5494217594701</v>
      </c>
      <c r="BD149" s="34">
        <v>3098.9857910000001</v>
      </c>
      <c r="BE149" s="34">
        <v>2687.4800559999999</v>
      </c>
      <c r="BF149" s="34">
        <v>2176.0027719999998</v>
      </c>
      <c r="BG149" s="34">
        <v>1968.565398</v>
      </c>
      <c r="BH149" s="34">
        <v>2027.7785490000001</v>
      </c>
      <c r="BI149" s="34">
        <v>2229.8586519999999</v>
      </c>
      <c r="BJ149" s="34">
        <v>2097.0924730000002</v>
      </c>
    </row>
    <row r="150" spans="1:62">
      <c r="A150" s="1" t="s">
        <v>1078</v>
      </c>
      <c r="B150" s="34">
        <v>126.24816800000001</v>
      </c>
      <c r="C150" s="34">
        <v>131.45065260000001</v>
      </c>
      <c r="D150" s="34">
        <v>140.55734559999999</v>
      </c>
      <c r="E150" s="34">
        <v>150.5036589</v>
      </c>
      <c r="F150" s="34">
        <v>170.43484100000001</v>
      </c>
      <c r="G150" s="34">
        <v>273.90670299999999</v>
      </c>
      <c r="H150" s="34">
        <v>284.55869000000001</v>
      </c>
      <c r="I150" s="34">
        <v>299.08093550000001</v>
      </c>
      <c r="J150" s="34">
        <v>307.2917569</v>
      </c>
      <c r="K150" s="34">
        <v>320.4285036</v>
      </c>
      <c r="L150" s="34">
        <v>322.70029460000001</v>
      </c>
      <c r="M150" s="34">
        <v>333.11426399999999</v>
      </c>
      <c r="N150" s="34">
        <v>344.25339769999999</v>
      </c>
      <c r="O150" s="34">
        <v>414.43584190000001</v>
      </c>
      <c r="P150" s="34">
        <v>558.86328519999995</v>
      </c>
      <c r="Q150" s="34">
        <v>566.62216469999998</v>
      </c>
      <c r="R150" s="34">
        <v>638.30481369999995</v>
      </c>
      <c r="S150" s="34">
        <v>750.2502313</v>
      </c>
      <c r="T150" s="34">
        <v>695.97964420000005</v>
      </c>
      <c r="U150" s="34">
        <v>481.75906809999998</v>
      </c>
      <c r="V150" s="34">
        <v>670.44371720000004</v>
      </c>
      <c r="W150" s="34">
        <v>728.62697760000003</v>
      </c>
      <c r="X150" s="34">
        <v>713.47992499999998</v>
      </c>
      <c r="Y150" s="34">
        <v>772.83523200000002</v>
      </c>
      <c r="Z150" s="34">
        <v>852.46660599999996</v>
      </c>
      <c r="AA150" s="34">
        <v>718.68499729999996</v>
      </c>
      <c r="AB150" s="34">
        <v>754.80256870000005</v>
      </c>
      <c r="AC150" s="34">
        <v>985.04778090000002</v>
      </c>
      <c r="AD150" s="34">
        <v>658.46206140000004</v>
      </c>
      <c r="AE150" s="34">
        <v>248.149686</v>
      </c>
      <c r="AF150" s="34">
        <v>241.87641210000001</v>
      </c>
      <c r="AG150" s="34">
        <v>348.86460529999999</v>
      </c>
      <c r="AH150" s="34">
        <v>410.76738440000003</v>
      </c>
      <c r="AI150" s="34">
        <v>393.60354569999998</v>
      </c>
      <c r="AJ150" s="34">
        <v>847.37368839999999</v>
      </c>
      <c r="AK150" s="34">
        <v>890.00544909999996</v>
      </c>
      <c r="AL150" s="34">
        <v>908.63384789999998</v>
      </c>
      <c r="AM150" s="34">
        <v>909.33649209999999</v>
      </c>
      <c r="AN150" s="34">
        <v>943.92285670000001</v>
      </c>
      <c r="AO150" s="34">
        <v>972.88679349999995</v>
      </c>
      <c r="AP150" s="34">
        <v>1007.499839</v>
      </c>
      <c r="AQ150" s="34">
        <v>1034.551387</v>
      </c>
      <c r="AR150" s="34">
        <v>1000.936715</v>
      </c>
      <c r="AS150" s="34">
        <v>1005.7330439999999</v>
      </c>
      <c r="AT150" s="34">
        <v>1080.269119</v>
      </c>
      <c r="AU150" s="34">
        <v>1162.289685</v>
      </c>
      <c r="AV150" s="34">
        <v>1226.644309</v>
      </c>
      <c r="AW150" s="34">
        <v>1327.966782</v>
      </c>
      <c r="AX150" s="34">
        <v>1499.2576200000001</v>
      </c>
      <c r="AY150" s="34">
        <v>1444.36951</v>
      </c>
      <c r="AZ150" s="34">
        <v>1503.8641909999999</v>
      </c>
      <c r="BA150" s="34">
        <v>1655.802946</v>
      </c>
      <c r="BB150" s="34">
        <v>1760.4603079999999</v>
      </c>
      <c r="BC150" s="34">
        <v>1811.6368027036301</v>
      </c>
      <c r="BD150" s="34">
        <v>1934.0629220000001</v>
      </c>
      <c r="BE150" s="34">
        <v>2049.851666</v>
      </c>
      <c r="BF150" s="34">
        <v>2107.5740599999999</v>
      </c>
      <c r="BG150" s="34">
        <v>2159.1567140000002</v>
      </c>
      <c r="BH150" s="34">
        <v>2014.5751889999999</v>
      </c>
      <c r="BI150" s="34">
        <v>1926.6996939999999</v>
      </c>
      <c r="BJ150" s="34">
        <v>1905.261152</v>
      </c>
    </row>
    <row r="151" spans="1:62">
      <c r="A151" s="1" t="s">
        <v>1129</v>
      </c>
      <c r="B151" s="34">
        <v>1068.7845870000001</v>
      </c>
      <c r="C151" s="34">
        <v>1159.3923569999999</v>
      </c>
      <c r="D151" s="34">
        <v>1240.6778939999999</v>
      </c>
      <c r="E151" s="34">
        <v>1328.0366489999999</v>
      </c>
      <c r="F151" s="34">
        <v>1541.947365</v>
      </c>
      <c r="G151" s="34">
        <v>1708.096356</v>
      </c>
      <c r="H151" s="34">
        <v>1835.801424</v>
      </c>
      <c r="I151" s="34">
        <v>1991.360686</v>
      </c>
      <c r="J151" s="34">
        <v>2185.2486589999999</v>
      </c>
      <c r="K151" s="34">
        <v>2642.9561180000001</v>
      </c>
      <c r="L151" s="34">
        <v>2927.0729390000001</v>
      </c>
      <c r="M151" s="34">
        <v>3378.6147970000002</v>
      </c>
      <c r="N151" s="34">
        <v>4104.4510300000002</v>
      </c>
      <c r="O151" s="34">
        <v>5345.5754440000001</v>
      </c>
      <c r="P151" s="34">
        <v>6440.9784200000004</v>
      </c>
      <c r="Q151" s="34">
        <v>7335.5089969999999</v>
      </c>
      <c r="R151" s="34">
        <v>7925.6880620000002</v>
      </c>
      <c r="S151" s="34">
        <v>9166.8081949999996</v>
      </c>
      <c r="T151" s="34">
        <v>11179.38956</v>
      </c>
      <c r="U151" s="34">
        <v>12798.543250000001</v>
      </c>
      <c r="V151" s="34">
        <v>13791.86226</v>
      </c>
      <c r="W151" s="34">
        <v>11520.44787</v>
      </c>
      <c r="X151" s="34">
        <v>11072.658450000001</v>
      </c>
      <c r="Y151" s="34">
        <v>10680.359039999999</v>
      </c>
      <c r="Z151" s="34">
        <v>9977.1602170000006</v>
      </c>
      <c r="AA151" s="34">
        <v>9926.1299710000003</v>
      </c>
      <c r="AB151" s="34">
        <v>13783.850109999999</v>
      </c>
      <c r="AC151" s="34">
        <v>16709.559679999998</v>
      </c>
      <c r="AD151" s="34">
        <v>17744.501380000002</v>
      </c>
      <c r="AE151" s="34">
        <v>17397.69168</v>
      </c>
      <c r="AF151" s="34">
        <v>21290.860379999998</v>
      </c>
      <c r="AG151" s="34">
        <v>21732.230759999999</v>
      </c>
      <c r="AH151" s="34">
        <v>23904.037420000001</v>
      </c>
      <c r="AI151" s="34">
        <v>23122.410769999999</v>
      </c>
      <c r="AJ151" s="34">
        <v>24646.314310000002</v>
      </c>
      <c r="AK151" s="34">
        <v>29258.13435</v>
      </c>
      <c r="AL151" s="34">
        <v>29006.809450000001</v>
      </c>
      <c r="AM151" s="34">
        <v>26700.537130000001</v>
      </c>
      <c r="AN151" s="34">
        <v>27885.808379999999</v>
      </c>
      <c r="AO151" s="34">
        <v>28263.096710000002</v>
      </c>
      <c r="AP151" s="34">
        <v>26149.411080000002</v>
      </c>
      <c r="AQ151" s="34">
        <v>26873.27593</v>
      </c>
      <c r="AR151" s="34">
        <v>29204.039830000002</v>
      </c>
      <c r="AS151" s="34">
        <v>35672.206599999998</v>
      </c>
      <c r="AT151" s="34">
        <v>40362.394780000002</v>
      </c>
      <c r="AU151" s="34">
        <v>41979.055849999997</v>
      </c>
      <c r="AV151" s="34">
        <v>44863.350630000001</v>
      </c>
      <c r="AW151" s="34">
        <v>51733.442130000003</v>
      </c>
      <c r="AX151" s="34">
        <v>57644.47997</v>
      </c>
      <c r="AY151" s="34">
        <v>52514.027119999999</v>
      </c>
      <c r="AZ151" s="34">
        <v>50950.034339999998</v>
      </c>
      <c r="BA151" s="34">
        <v>54159.346610000001</v>
      </c>
      <c r="BB151" s="34">
        <v>50073.005660000003</v>
      </c>
      <c r="BC151" s="34">
        <v>52184.061850493097</v>
      </c>
      <c r="BD151" s="34">
        <v>52830.174229999997</v>
      </c>
      <c r="BE151" s="34">
        <v>45175.231890000003</v>
      </c>
      <c r="BF151" s="34">
        <v>46007.852919999998</v>
      </c>
      <c r="BG151" s="34">
        <v>48554.992279999999</v>
      </c>
      <c r="BH151" s="34">
        <v>53018.629359999999</v>
      </c>
      <c r="BI151" s="34">
        <v>52476.273249999998</v>
      </c>
      <c r="BJ151" s="34">
        <v>52397.116710000002</v>
      </c>
    </row>
    <row r="152" spans="1:62">
      <c r="A152" s="1" t="s">
        <v>1131</v>
      </c>
      <c r="B152" s="34">
        <v>1441.75566</v>
      </c>
      <c r="C152" s="34">
        <v>1560.3249310000001</v>
      </c>
      <c r="D152" s="34">
        <v>1667.2474299999999</v>
      </c>
      <c r="E152" s="34">
        <v>1775.5826549999999</v>
      </c>
      <c r="F152" s="34">
        <v>1937.8846140000001</v>
      </c>
      <c r="G152" s="34">
        <v>2164.4688230000002</v>
      </c>
      <c r="H152" s="34">
        <v>2317.194884</v>
      </c>
      <c r="I152" s="34">
        <v>2514.043772</v>
      </c>
      <c r="J152" s="34">
        <v>2662.1174919999999</v>
      </c>
      <c r="K152" s="34">
        <v>2875.2358439999998</v>
      </c>
      <c r="L152" s="34">
        <v>3306.2194760000002</v>
      </c>
      <c r="M152" s="34">
        <v>3736.3487369999998</v>
      </c>
      <c r="N152" s="34">
        <v>4413.5756920000003</v>
      </c>
      <c r="O152" s="34">
        <v>5689.5888070000001</v>
      </c>
      <c r="P152" s="34">
        <v>6811.5273370000004</v>
      </c>
      <c r="Q152" s="34">
        <v>8204.4515119999996</v>
      </c>
      <c r="R152" s="34">
        <v>8927.2016270000004</v>
      </c>
      <c r="S152" s="34">
        <v>10266.12067</v>
      </c>
      <c r="T152" s="34">
        <v>11462.641589999999</v>
      </c>
      <c r="U152" s="34">
        <v>13046.53722</v>
      </c>
      <c r="V152" s="34">
        <v>15772.24091</v>
      </c>
      <c r="W152" s="34">
        <v>15512.5067</v>
      </c>
      <c r="X152" s="34">
        <v>15224.893910000001</v>
      </c>
      <c r="Y152" s="34">
        <v>14927.51748</v>
      </c>
      <c r="Z152" s="34">
        <v>14989.485769999999</v>
      </c>
      <c r="AA152" s="34">
        <v>15753.55277</v>
      </c>
      <c r="AB152" s="34">
        <v>18883.265800000001</v>
      </c>
      <c r="AC152" s="34">
        <v>22505.897710000001</v>
      </c>
      <c r="AD152" s="34">
        <v>24207.281470000002</v>
      </c>
      <c r="AE152" s="34">
        <v>24281.096140000001</v>
      </c>
      <c r="AF152" s="34">
        <v>28242.943739999999</v>
      </c>
      <c r="AG152" s="34">
        <v>28596.933000000001</v>
      </c>
      <c r="AH152" s="34">
        <v>30523.985059999999</v>
      </c>
      <c r="AI152" s="34">
        <v>27963.665219999999</v>
      </c>
      <c r="AJ152" s="34">
        <v>29315.841909999999</v>
      </c>
      <c r="AK152" s="34">
        <v>34875.70433</v>
      </c>
      <c r="AL152" s="34">
        <v>37321.974199999997</v>
      </c>
      <c r="AM152" s="34">
        <v>36629.030899999998</v>
      </c>
      <c r="AN152" s="34">
        <v>34788.359850000001</v>
      </c>
      <c r="AO152" s="34">
        <v>36371.050949999997</v>
      </c>
      <c r="AP152" s="34">
        <v>38131.460610000002</v>
      </c>
      <c r="AQ152" s="34">
        <v>38542.715100000001</v>
      </c>
      <c r="AR152" s="34">
        <v>43084.472470000001</v>
      </c>
      <c r="AS152" s="34">
        <v>50134.890769999998</v>
      </c>
      <c r="AT152" s="34">
        <v>57603.836020000002</v>
      </c>
      <c r="AU152" s="34">
        <v>66810.478520000004</v>
      </c>
      <c r="AV152" s="34">
        <v>74148.320080000005</v>
      </c>
      <c r="AW152" s="34">
        <v>85139.960449999999</v>
      </c>
      <c r="AX152" s="34">
        <v>96944.095610000004</v>
      </c>
      <c r="AY152" s="34">
        <v>79977.697079999998</v>
      </c>
      <c r="AZ152" s="34">
        <v>87693.790070000003</v>
      </c>
      <c r="BA152" s="34">
        <v>100600.5624</v>
      </c>
      <c r="BB152" s="34">
        <v>101524.1419</v>
      </c>
      <c r="BC152" s="34">
        <v>102913.450843674</v>
      </c>
      <c r="BD152" s="34">
        <v>97019.182750000007</v>
      </c>
      <c r="BE152" s="34">
        <v>74355.51586</v>
      </c>
      <c r="BF152" s="34">
        <v>70460.560530000002</v>
      </c>
      <c r="BG152" s="34">
        <v>75496.754060000007</v>
      </c>
      <c r="BH152" s="34">
        <v>82267.80932</v>
      </c>
      <c r="BI152" s="34">
        <v>75826.081879999998</v>
      </c>
      <c r="BJ152" s="34">
        <v>67389.912049999999</v>
      </c>
    </row>
    <row r="153" spans="1:62">
      <c r="A153" s="1" t="s">
        <v>1077</v>
      </c>
      <c r="B153" s="34">
        <v>50.304937719999998</v>
      </c>
      <c r="C153" s="34">
        <v>51.811248730000003</v>
      </c>
      <c r="D153" s="34">
        <v>55.02568891</v>
      </c>
      <c r="E153" s="34">
        <v>46.861453259999998</v>
      </c>
      <c r="F153" s="34">
        <v>46.00340388</v>
      </c>
      <c r="G153" s="34">
        <v>67.00747097</v>
      </c>
      <c r="H153" s="34">
        <v>81.164422369999997</v>
      </c>
      <c r="I153" s="34">
        <v>73.967900760000006</v>
      </c>
      <c r="J153" s="34">
        <v>66.548940090000002</v>
      </c>
      <c r="K153" s="34">
        <v>66.638345790000002</v>
      </c>
      <c r="L153" s="34">
        <v>71.718591140000001</v>
      </c>
      <c r="M153" s="34">
        <v>71.629878099999999</v>
      </c>
      <c r="N153" s="34">
        <v>81.386572999999999</v>
      </c>
      <c r="O153" s="34">
        <v>75.636960740000006</v>
      </c>
      <c r="P153" s="34">
        <v>92.752222329999995</v>
      </c>
      <c r="Q153" s="34">
        <v>117.4177468</v>
      </c>
      <c r="R153" s="34">
        <v>105.8928233</v>
      </c>
      <c r="S153" s="34">
        <v>98.542007420000004</v>
      </c>
      <c r="T153" s="34">
        <v>111.80661379999999</v>
      </c>
      <c r="U153" s="34">
        <v>126.1333096</v>
      </c>
      <c r="V153" s="34">
        <v>129.58602239999999</v>
      </c>
      <c r="W153" s="34">
        <v>148.08026330000001</v>
      </c>
      <c r="X153" s="34">
        <v>152.28966980000001</v>
      </c>
      <c r="Y153" s="34">
        <v>151.99255350000001</v>
      </c>
      <c r="Z153" s="34">
        <v>156.6505397</v>
      </c>
      <c r="AA153" s="34">
        <v>155.4078184</v>
      </c>
      <c r="AB153" s="34">
        <v>165.36182919999999</v>
      </c>
      <c r="AC153" s="34">
        <v>167.7999446</v>
      </c>
      <c r="AD153" s="34">
        <v>193.49964800000001</v>
      </c>
      <c r="AE153" s="34">
        <v>191.12085329999999</v>
      </c>
      <c r="AF153" s="34">
        <v>191.87888390000001</v>
      </c>
      <c r="AG153" s="34">
        <v>202.0805891</v>
      </c>
      <c r="AH153" s="34">
        <v>170.58665120000001</v>
      </c>
      <c r="AI153" s="34">
        <v>178.62598779999999</v>
      </c>
      <c r="AJ153" s="34">
        <v>193.2795509</v>
      </c>
      <c r="AK153" s="34">
        <v>203.9807806</v>
      </c>
      <c r="AL153" s="34">
        <v>204.68575519999999</v>
      </c>
      <c r="AM153" s="34">
        <v>217.78798190000001</v>
      </c>
      <c r="AN153" s="34">
        <v>210.6115609</v>
      </c>
      <c r="AO153" s="34">
        <v>214.1067032</v>
      </c>
      <c r="AP153" s="34">
        <v>229.49039260000001</v>
      </c>
      <c r="AQ153" s="34">
        <v>246.7255581</v>
      </c>
      <c r="AR153" s="34">
        <v>244.7208435</v>
      </c>
      <c r="AS153" s="34">
        <v>252.40235179999999</v>
      </c>
      <c r="AT153" s="34">
        <v>286.15767260000001</v>
      </c>
      <c r="AU153" s="34">
        <v>315.80563000000001</v>
      </c>
      <c r="AV153" s="34">
        <v>346.94533130000002</v>
      </c>
      <c r="AW153" s="34">
        <v>391.38005720000001</v>
      </c>
      <c r="AX153" s="34">
        <v>470.45545900000002</v>
      </c>
      <c r="AY153" s="34">
        <v>478.1732528</v>
      </c>
      <c r="AZ153" s="34">
        <v>592.40120709999997</v>
      </c>
      <c r="BA153" s="34">
        <v>799.58337689999996</v>
      </c>
      <c r="BB153" s="34">
        <v>804.14160730000003</v>
      </c>
      <c r="BC153" s="34">
        <v>823.359874609489</v>
      </c>
      <c r="BD153" s="34">
        <v>844.85312480000005</v>
      </c>
      <c r="BE153" s="34">
        <v>901.74960769999996</v>
      </c>
      <c r="BF153" s="34">
        <v>899.52358100000004</v>
      </c>
      <c r="BG153" s="34">
        <v>1048.453755</v>
      </c>
      <c r="BH153" s="34">
        <v>1178.525932</v>
      </c>
      <c r="BI153" s="34">
        <v>1194.956876</v>
      </c>
      <c r="BJ153" s="34">
        <v>1155.1428539999999</v>
      </c>
    </row>
    <row r="154" spans="1:62">
      <c r="A154" s="1" t="s">
        <v>1194</v>
      </c>
      <c r="B154" s="34">
        <v>0</v>
      </c>
      <c r="C154" s="34">
        <v>0</v>
      </c>
      <c r="D154" s="34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4752.1750819999997</v>
      </c>
      <c r="BA154" s="34">
        <v>6560.2748700000002</v>
      </c>
      <c r="BB154" s="34">
        <v>9562.6678659999998</v>
      </c>
      <c r="BC154" s="34">
        <v>9648.4956547999791</v>
      </c>
      <c r="BD154" s="34">
        <v>10171.480729999999</v>
      </c>
      <c r="BE154" s="34">
        <v>8341.0122780000002</v>
      </c>
      <c r="BF154" s="34">
        <v>9521.0421009999991</v>
      </c>
      <c r="BG154" s="34">
        <v>10339.385480000001</v>
      </c>
      <c r="BH154" s="34">
        <v>11614.665080000001</v>
      </c>
      <c r="BI154" s="34">
        <v>11029.73558</v>
      </c>
      <c r="BJ154" s="34">
        <v>10580.268190000001</v>
      </c>
    </row>
    <row r="155" spans="1:62">
      <c r="A155" s="1" t="s">
        <v>1130</v>
      </c>
      <c r="B155" s="34">
        <v>2312.9499919999998</v>
      </c>
      <c r="C155" s="34">
        <v>2343.2922130000002</v>
      </c>
      <c r="D155" s="34">
        <v>2448.6286329999998</v>
      </c>
      <c r="E155" s="34">
        <v>2622.2202710000001</v>
      </c>
      <c r="F155" s="34">
        <v>2813.5469760000001</v>
      </c>
      <c r="G155" s="34">
        <v>2151.2949269999999</v>
      </c>
      <c r="H155" s="34">
        <v>2191.3125420000001</v>
      </c>
      <c r="I155" s="34">
        <v>2188.3991390000001</v>
      </c>
      <c r="J155" s="34">
        <v>1885.156152</v>
      </c>
      <c r="K155" s="34">
        <v>2077.8955430000001</v>
      </c>
      <c r="L155" s="34">
        <v>0</v>
      </c>
      <c r="M155" s="34">
        <v>2772.9185969999999</v>
      </c>
      <c r="N155" s="34">
        <v>3294.6489430000001</v>
      </c>
      <c r="O155" s="34">
        <v>4323.196535</v>
      </c>
      <c r="P155" s="34">
        <v>4610.5704260000002</v>
      </c>
      <c r="Q155" s="34">
        <v>4171.7697399999997</v>
      </c>
      <c r="R155" s="34">
        <v>4373.8409979999997</v>
      </c>
      <c r="S155" s="34">
        <v>4950.588205</v>
      </c>
      <c r="T155" s="34">
        <v>5936.9852600000004</v>
      </c>
      <c r="U155" s="34">
        <v>6668.1386659999998</v>
      </c>
      <c r="V155" s="34">
        <v>7467.1680379999998</v>
      </c>
      <c r="W155" s="34">
        <v>7813.8875429999998</v>
      </c>
      <c r="X155" s="34">
        <v>7656.4757319999999</v>
      </c>
      <c r="Y155" s="34">
        <v>7598.3120390000004</v>
      </c>
      <c r="Z155" s="34">
        <v>6713.760131</v>
      </c>
      <c r="AA155" s="34">
        <v>7600.5652419999997</v>
      </c>
      <c r="AB155" s="34">
        <v>9427.5539399999998</v>
      </c>
      <c r="AC155" s="34">
        <v>12330.91683</v>
      </c>
      <c r="AD155" s="34">
        <v>13759.155629999999</v>
      </c>
      <c r="AE155" s="34">
        <v>13312.38559</v>
      </c>
      <c r="AF155" s="34">
        <v>13663.02162</v>
      </c>
      <c r="AG155" s="34">
        <v>12230.07345</v>
      </c>
      <c r="AH155" s="34">
        <v>11793.13924</v>
      </c>
      <c r="AI155" s="34">
        <v>13094.345450000001</v>
      </c>
      <c r="AJ155" s="34">
        <v>15280.31278</v>
      </c>
      <c r="AK155" s="34">
        <v>17400.420180000001</v>
      </c>
      <c r="AL155" s="34">
        <v>18794.436040000001</v>
      </c>
      <c r="AM155" s="34">
        <v>17474.187030000001</v>
      </c>
      <c r="AN155" s="34">
        <v>14738.44557</v>
      </c>
      <c r="AO155" s="34">
        <v>15322.223830000001</v>
      </c>
      <c r="AP155" s="34">
        <v>13641.102720000001</v>
      </c>
      <c r="AQ155" s="34">
        <v>13882.856830000001</v>
      </c>
      <c r="AR155" s="34">
        <v>16874.18749</v>
      </c>
      <c r="AS155" s="34">
        <v>21913.708170000002</v>
      </c>
      <c r="AT155" s="34">
        <v>25420.23488</v>
      </c>
      <c r="AU155" s="34">
        <v>27751.065470000001</v>
      </c>
      <c r="AV155" s="34">
        <v>26654.593199999999</v>
      </c>
      <c r="AW155" s="34">
        <v>32479.981739999999</v>
      </c>
      <c r="AX155" s="34">
        <v>31252.96256</v>
      </c>
      <c r="AY155" s="34">
        <v>28209.36233</v>
      </c>
      <c r="AZ155" s="34">
        <v>33676.774120000002</v>
      </c>
      <c r="BA155" s="34">
        <v>38387.627079999998</v>
      </c>
      <c r="BB155" s="34">
        <v>39973.38076</v>
      </c>
      <c r="BC155" s="34">
        <v>42976.649588258399</v>
      </c>
      <c r="BD155" s="34">
        <v>44572.89875</v>
      </c>
      <c r="BE155" s="34">
        <v>38630.726589999998</v>
      </c>
      <c r="BF155" s="34">
        <v>40080.49411</v>
      </c>
      <c r="BG155" s="34">
        <v>42992.895270000001</v>
      </c>
      <c r="BH155" s="34">
        <v>43306.07</v>
      </c>
      <c r="BI155" s="34">
        <v>42755.216260000001</v>
      </c>
      <c r="BJ155" s="34">
        <v>41441.466670000002</v>
      </c>
    </row>
    <row r="156" spans="1:62">
      <c r="A156" s="1" t="s">
        <v>1132</v>
      </c>
      <c r="B156" s="34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101.2591791</v>
      </c>
      <c r="H156" s="34">
        <v>105.5566874</v>
      </c>
      <c r="I156" s="34">
        <v>162.3238308</v>
      </c>
      <c r="J156" s="34">
        <v>277.90923199999997</v>
      </c>
      <c r="K156" s="34">
        <v>342.47501019999999</v>
      </c>
      <c r="L156" s="34">
        <v>354.08210079999998</v>
      </c>
      <c r="M156" s="34">
        <v>401.9004645</v>
      </c>
      <c r="N156" s="34">
        <v>472.5203841</v>
      </c>
      <c r="O156" s="34">
        <v>598.56618419999995</v>
      </c>
      <c r="P156" s="34">
        <v>1954.8831479999999</v>
      </c>
      <c r="Q156" s="34">
        <v>2377.1075500000002</v>
      </c>
      <c r="R156" s="34">
        <v>2760.5414879999998</v>
      </c>
      <c r="S156" s="34">
        <v>2803.3940830000001</v>
      </c>
      <c r="T156" s="34">
        <v>2653.2817089999999</v>
      </c>
      <c r="U156" s="34">
        <v>3419.2657239999999</v>
      </c>
      <c r="V156" s="34">
        <v>5181.8262189999996</v>
      </c>
      <c r="W156" s="34">
        <v>5947.2808379999997</v>
      </c>
      <c r="X156" s="34">
        <v>5855.8224039999996</v>
      </c>
      <c r="Y156" s="34">
        <v>5828.1016179999997</v>
      </c>
      <c r="Z156" s="34">
        <v>6164.1926590000003</v>
      </c>
      <c r="AA156" s="34">
        <v>6677.3984069999997</v>
      </c>
      <c r="AB156" s="34">
        <v>4691.2093750000004</v>
      </c>
      <c r="AC156" s="34">
        <v>4822.1019420000002</v>
      </c>
      <c r="AD156" s="34">
        <v>4997.3904499999999</v>
      </c>
      <c r="AE156" s="34">
        <v>5382.7325259999998</v>
      </c>
      <c r="AF156" s="34">
        <v>6448.1383599999999</v>
      </c>
      <c r="AG156" s="34">
        <v>5988.8668340000004</v>
      </c>
      <c r="AH156" s="34">
        <v>6278.6524909999998</v>
      </c>
      <c r="AI156" s="34">
        <v>6029.1838029999999</v>
      </c>
      <c r="AJ156" s="34">
        <v>6013.2002629999997</v>
      </c>
      <c r="AK156" s="34">
        <v>6261.7644689999997</v>
      </c>
      <c r="AL156" s="34">
        <v>6830.639424</v>
      </c>
      <c r="AM156" s="34">
        <v>7039.6212370000003</v>
      </c>
      <c r="AN156" s="34">
        <v>6215.7153689999996</v>
      </c>
      <c r="AO156" s="34">
        <v>6915.3709490000001</v>
      </c>
      <c r="AP156" s="34">
        <v>8601.2719319999997</v>
      </c>
      <c r="AQ156" s="34">
        <v>8475.9686230000007</v>
      </c>
      <c r="AR156" s="34">
        <v>8626.9652889999998</v>
      </c>
      <c r="AS156" s="34">
        <v>9066.3123830000004</v>
      </c>
      <c r="AT156" s="34">
        <v>10126.137790000001</v>
      </c>
      <c r="AU156" s="34">
        <v>12377.080029999999</v>
      </c>
      <c r="AV156" s="34">
        <v>14420.51202</v>
      </c>
      <c r="AW156" s="34">
        <v>15838.469569999999</v>
      </c>
      <c r="AX156" s="34">
        <v>22139.740679999999</v>
      </c>
      <c r="AY156" s="34">
        <v>16823.79495</v>
      </c>
      <c r="AZ156" s="34">
        <v>18712.57015</v>
      </c>
      <c r="BA156" s="34">
        <v>20876.585040000002</v>
      </c>
      <c r="BB156" s="34">
        <v>21872.610540000001</v>
      </c>
      <c r="BC156" s="34">
        <v>20865.7878719523</v>
      </c>
      <c r="BD156" s="34">
        <v>20035.21731</v>
      </c>
      <c r="BE156" s="34">
        <v>16033.463830000001</v>
      </c>
      <c r="BF156" s="34">
        <v>14609.981760000001</v>
      </c>
      <c r="BG156" s="34">
        <v>15127.88819</v>
      </c>
      <c r="BH156" s="34">
        <v>16521.20623</v>
      </c>
      <c r="BI156" s="34">
        <v>15343.0435</v>
      </c>
      <c r="BJ156" s="34">
        <v>12659.717720000001</v>
      </c>
    </row>
    <row r="157" spans="1:62">
      <c r="A157" s="1" t="s">
        <v>1081</v>
      </c>
      <c r="B157" s="34">
        <v>83.337945930000004</v>
      </c>
      <c r="C157" s="34">
        <v>89.409034030000001</v>
      </c>
      <c r="D157" s="34">
        <v>91.319184879999995</v>
      </c>
      <c r="E157" s="34">
        <v>95.70337782</v>
      </c>
      <c r="F157" s="34">
        <v>104.88021759999999</v>
      </c>
      <c r="G157" s="34">
        <v>116.4467247</v>
      </c>
      <c r="H157" s="34">
        <v>125.546992</v>
      </c>
      <c r="I157" s="34">
        <v>139.11847510000001</v>
      </c>
      <c r="J157" s="34">
        <v>145.94567269999999</v>
      </c>
      <c r="K157" s="34">
        <v>153.4169694</v>
      </c>
      <c r="L157" s="34">
        <v>172.46566609999999</v>
      </c>
      <c r="M157" s="34">
        <v>178.5551136</v>
      </c>
      <c r="N157" s="34">
        <v>153.38403959999999</v>
      </c>
      <c r="O157" s="34">
        <v>101.1646559</v>
      </c>
      <c r="P157" s="34">
        <v>137.108934</v>
      </c>
      <c r="Q157" s="34">
        <v>168.08038479999999</v>
      </c>
      <c r="R157" s="34">
        <v>191.30108419999999</v>
      </c>
      <c r="S157" s="34">
        <v>213.16870249999999</v>
      </c>
      <c r="T157" s="34">
        <v>243.33583809999999</v>
      </c>
      <c r="U157" s="34">
        <v>260.56233359999999</v>
      </c>
      <c r="V157" s="34">
        <v>303.05095940000001</v>
      </c>
      <c r="W157" s="34">
        <v>348.29506070000002</v>
      </c>
      <c r="X157" s="34">
        <v>368.27739930000001</v>
      </c>
      <c r="Y157" s="34">
        <v>332.52104680000002</v>
      </c>
      <c r="Z157" s="34">
        <v>349.18205019999999</v>
      </c>
      <c r="AA157" s="34">
        <v>337.82853249999999</v>
      </c>
      <c r="AB157" s="34">
        <v>335.02015879999999</v>
      </c>
      <c r="AC157" s="34">
        <v>339.33225520000002</v>
      </c>
      <c r="AD157" s="34">
        <v>379.4545167</v>
      </c>
      <c r="AE157" s="34">
        <v>384.3643055</v>
      </c>
      <c r="AF157" s="34">
        <v>371.67856760000001</v>
      </c>
      <c r="AG157" s="34">
        <v>411.85943900000001</v>
      </c>
      <c r="AH157" s="34">
        <v>429.1469022</v>
      </c>
      <c r="AI157" s="34">
        <v>442.49225730000001</v>
      </c>
      <c r="AJ157" s="34">
        <v>434.46540420000002</v>
      </c>
      <c r="AK157" s="34">
        <v>489.88182979999999</v>
      </c>
      <c r="AL157" s="34">
        <v>497.21613139999999</v>
      </c>
      <c r="AM157" s="34">
        <v>476.38122759999999</v>
      </c>
      <c r="AN157" s="34">
        <v>461.21673609999999</v>
      </c>
      <c r="AO157" s="34">
        <v>454.27611230000002</v>
      </c>
      <c r="AP157" s="34">
        <v>576.19558040000004</v>
      </c>
      <c r="AQ157" s="34">
        <v>544.49425140000005</v>
      </c>
      <c r="AR157" s="34">
        <v>534.30390069999999</v>
      </c>
      <c r="AS157" s="34">
        <v>599.37633049999999</v>
      </c>
      <c r="AT157" s="34">
        <v>687.83641269999998</v>
      </c>
      <c r="AU157" s="34">
        <v>748.92258930000003</v>
      </c>
      <c r="AV157" s="34">
        <v>836.86052619999998</v>
      </c>
      <c r="AW157" s="34">
        <v>908.09508519999997</v>
      </c>
      <c r="AX157" s="34">
        <v>990.84661119999998</v>
      </c>
      <c r="AY157" s="34">
        <v>957.99567530000002</v>
      </c>
      <c r="AZ157" s="34">
        <v>987.40971200000001</v>
      </c>
      <c r="BA157" s="34">
        <v>1164.9788229999999</v>
      </c>
      <c r="BB157" s="34">
        <v>1198.1176370000001</v>
      </c>
      <c r="BC157" s="34">
        <v>1208.9177102045801</v>
      </c>
      <c r="BD157" s="34">
        <v>1251.1757190000001</v>
      </c>
      <c r="BE157" s="34">
        <v>1356.667831</v>
      </c>
      <c r="BF157" s="34">
        <v>1368.4269609999999</v>
      </c>
      <c r="BG157" s="34">
        <v>1464.926195</v>
      </c>
      <c r="BH157" s="34">
        <v>1482.2130669999999</v>
      </c>
      <c r="BI157" s="34">
        <v>1288.556325</v>
      </c>
      <c r="BJ157" s="34">
        <v>1188.8597569999999</v>
      </c>
    </row>
    <row r="158" spans="1:62">
      <c r="A158" s="1" t="s">
        <v>1082</v>
      </c>
      <c r="B158" s="34">
        <v>474.09067040000002</v>
      </c>
      <c r="C158" s="34">
        <v>513.25167929999998</v>
      </c>
      <c r="D158" s="34">
        <v>542.32818580000003</v>
      </c>
      <c r="E158" s="34">
        <v>583.41156179999996</v>
      </c>
      <c r="F158" s="34">
        <v>608.10048489999997</v>
      </c>
      <c r="G158" s="34">
        <v>648.43608210000002</v>
      </c>
      <c r="H158" s="34">
        <v>686.06940080000004</v>
      </c>
      <c r="I158" s="34">
        <v>742.11406890000001</v>
      </c>
      <c r="J158" s="34">
        <v>775.63930809999999</v>
      </c>
      <c r="K158" s="34">
        <v>827.17332629999999</v>
      </c>
      <c r="L158" s="34">
        <v>889.23770769999999</v>
      </c>
      <c r="M158" s="34">
        <v>974.93699990000005</v>
      </c>
      <c r="N158" s="34">
        <v>1040.8103140000001</v>
      </c>
      <c r="O158" s="34">
        <v>1157.624086</v>
      </c>
      <c r="P158" s="34">
        <v>1287.9549589999999</v>
      </c>
      <c r="Q158" s="34">
        <v>1395.476185</v>
      </c>
      <c r="R158" s="34">
        <v>1444.7481809999999</v>
      </c>
      <c r="S158" s="34">
        <v>1489.9640549999999</v>
      </c>
      <c r="T158" s="34">
        <v>1721.7746299999999</v>
      </c>
      <c r="U158" s="34">
        <v>1918.162773</v>
      </c>
      <c r="V158" s="34">
        <v>2332.126385</v>
      </c>
      <c r="W158" s="34">
        <v>2577.7451729999998</v>
      </c>
      <c r="X158" s="34">
        <v>2782.289796</v>
      </c>
      <c r="Y158" s="34">
        <v>2791.771146</v>
      </c>
      <c r="Z158" s="34">
        <v>2849.0538769999998</v>
      </c>
      <c r="AA158" s="34">
        <v>2947.6915560000002</v>
      </c>
      <c r="AB158" s="34">
        <v>2996.6207629999999</v>
      </c>
      <c r="AC158" s="34">
        <v>2945.1693270000001</v>
      </c>
      <c r="AD158" s="34">
        <v>2492.1443279999999</v>
      </c>
      <c r="AE158" s="34">
        <v>2446.2309209999999</v>
      </c>
      <c r="AF158" s="34">
        <v>2603.8476759999999</v>
      </c>
      <c r="AG158" s="34">
        <v>2803.9449249999998</v>
      </c>
      <c r="AH158" s="34">
        <v>3122.0873160000001</v>
      </c>
      <c r="AI158" s="34">
        <v>3339.914374</v>
      </c>
      <c r="AJ158" s="34">
        <v>3489.1511059999998</v>
      </c>
      <c r="AK158" s="34">
        <v>3494.5172899999998</v>
      </c>
      <c r="AL158" s="34">
        <v>3529.852222</v>
      </c>
      <c r="AM158" s="34">
        <v>3741.2873300000001</v>
      </c>
      <c r="AN158" s="34">
        <v>3974.6643049999998</v>
      </c>
      <c r="AO158" s="34">
        <v>4082.614583</v>
      </c>
      <c r="AP158" s="34">
        <v>4060.3177930000002</v>
      </c>
      <c r="AQ158" s="34">
        <v>4046.4291480000002</v>
      </c>
      <c r="AR158" s="34">
        <v>4126.2323859999997</v>
      </c>
      <c r="AS158" s="34">
        <v>4267.2926870000001</v>
      </c>
      <c r="AT158" s="34">
        <v>4592.1526139999996</v>
      </c>
      <c r="AU158" s="34">
        <v>4916.907612</v>
      </c>
      <c r="AV158" s="34">
        <v>5348.8842530000002</v>
      </c>
      <c r="AW158" s="34">
        <v>6166.1878710000001</v>
      </c>
      <c r="AX158" s="34">
        <v>7154.2745009999999</v>
      </c>
      <c r="AY158" s="34">
        <v>7576.1404570000004</v>
      </c>
      <c r="AZ158" s="34">
        <v>8082.0161749999997</v>
      </c>
      <c r="BA158" s="34">
        <v>9358.2681300000004</v>
      </c>
      <c r="BB158" s="34">
        <v>10722.261469999999</v>
      </c>
      <c r="BC158" s="34">
        <v>11889.095066334499</v>
      </c>
      <c r="BD158" s="34">
        <v>12796.07403</v>
      </c>
      <c r="BE158" s="34">
        <v>13630.30114</v>
      </c>
      <c r="BF158" s="34">
        <v>14343.98026</v>
      </c>
      <c r="BG158" s="34">
        <v>15146.408509999999</v>
      </c>
      <c r="BH158" s="34">
        <v>15544.99908</v>
      </c>
      <c r="BI158" s="34">
        <v>15774.254940000001</v>
      </c>
      <c r="BJ158" s="34">
        <v>12509.835290000001</v>
      </c>
    </row>
    <row r="159" spans="1:62">
      <c r="A159" s="1" t="s">
        <v>404</v>
      </c>
      <c r="B159" s="34">
        <v>253.2649213</v>
      </c>
      <c r="C159" s="34">
        <v>277.56876340000002</v>
      </c>
      <c r="D159" s="34">
        <v>305.76161689999998</v>
      </c>
      <c r="E159" s="34">
        <v>325.5163392</v>
      </c>
      <c r="F159" s="34">
        <v>382.74396480000001</v>
      </c>
      <c r="G159" s="34">
        <v>441.18211200000002</v>
      </c>
      <c r="H159" s="34">
        <v>507.5309532</v>
      </c>
      <c r="I159" s="34">
        <v>500.8734862</v>
      </c>
      <c r="J159" s="34">
        <v>450.40146750000002</v>
      </c>
      <c r="K159" s="34">
        <v>490.41360370000001</v>
      </c>
      <c r="L159" s="34">
        <v>552.17976869999995</v>
      </c>
      <c r="M159" s="34">
        <v>599.11565529999996</v>
      </c>
      <c r="N159" s="34">
        <v>646.14281619999997</v>
      </c>
      <c r="O159" s="34">
        <v>752.22338430000002</v>
      </c>
      <c r="P159" s="34">
        <v>922.84649669999999</v>
      </c>
      <c r="Q159" s="34">
        <v>1094.1616079999999</v>
      </c>
      <c r="R159" s="34">
        <v>1006.890862</v>
      </c>
      <c r="S159" s="34">
        <v>899.25551819999998</v>
      </c>
      <c r="T159" s="34">
        <v>748.99249689999999</v>
      </c>
      <c r="U159" s="34">
        <v>932.74661819999994</v>
      </c>
      <c r="V159" s="34">
        <v>1033.4186319999999</v>
      </c>
      <c r="W159" s="34">
        <v>1203.7063410000001</v>
      </c>
      <c r="X159" s="34">
        <v>1182.7309279999999</v>
      </c>
      <c r="Y159" s="34">
        <v>919.16885609999997</v>
      </c>
      <c r="Z159" s="34">
        <v>910.96746580000001</v>
      </c>
      <c r="AA159" s="34">
        <v>836.94608730000004</v>
      </c>
      <c r="AB159" s="34">
        <v>753.53152980000004</v>
      </c>
      <c r="AC159" s="34">
        <v>1000.532272</v>
      </c>
      <c r="AD159" s="34">
        <v>729.87619930000005</v>
      </c>
      <c r="AE159" s="34">
        <v>1040.9622549999999</v>
      </c>
      <c r="AF159" s="34">
        <v>1196.5868579999999</v>
      </c>
      <c r="AG159" s="34">
        <v>1524.770536</v>
      </c>
      <c r="AH159" s="34">
        <v>1566.0112790000001</v>
      </c>
      <c r="AI159" s="34">
        <v>1488.032995</v>
      </c>
      <c r="AJ159" s="34">
        <v>1881.737355</v>
      </c>
      <c r="AK159" s="34">
        <v>2194.0172470000002</v>
      </c>
      <c r="AL159" s="34">
        <v>2232.075816</v>
      </c>
      <c r="AM159" s="34">
        <v>2306.4385269999998</v>
      </c>
      <c r="AN159" s="34">
        <v>2163.119357</v>
      </c>
      <c r="AO159" s="34">
        <v>1924.4864190000001</v>
      </c>
      <c r="AP159" s="34">
        <v>1955.588006</v>
      </c>
      <c r="AQ159" s="34">
        <v>1941.475342</v>
      </c>
      <c r="AR159" s="34">
        <v>2021.2400379999999</v>
      </c>
      <c r="AS159" s="34">
        <v>2145.6438889999999</v>
      </c>
      <c r="AT159" s="34">
        <v>2417.0343630000002</v>
      </c>
      <c r="AU159" s="34">
        <v>2729.4991719999998</v>
      </c>
      <c r="AV159" s="34">
        <v>3154.331349</v>
      </c>
      <c r="AW159" s="34">
        <v>3606.0706890000001</v>
      </c>
      <c r="AX159" s="34">
        <v>4220.6163779999997</v>
      </c>
      <c r="AY159" s="34">
        <v>4196.311627</v>
      </c>
      <c r="AZ159" s="34">
        <v>5082.3537059999999</v>
      </c>
      <c r="BA159" s="34">
        <v>5869.3238819999997</v>
      </c>
      <c r="BB159" s="34">
        <v>6528.971775</v>
      </c>
      <c r="BC159" s="34">
        <v>6756.75299620034</v>
      </c>
      <c r="BD159" s="34">
        <v>6672.8773730000003</v>
      </c>
      <c r="BE159" s="34">
        <v>6229.1006740000003</v>
      </c>
      <c r="BF159" s="34">
        <v>6204.9964570000002</v>
      </c>
      <c r="BG159" s="34">
        <v>6710.5076019999997</v>
      </c>
      <c r="BH159" s="34">
        <v>6957.7934109999997</v>
      </c>
      <c r="BI159" s="34">
        <v>7027.6122070000001</v>
      </c>
      <c r="BJ159" s="34">
        <v>6126.8745399999998</v>
      </c>
    </row>
    <row r="160" spans="1:62">
      <c r="A160" s="1" t="s">
        <v>285</v>
      </c>
      <c r="B160" s="34">
        <v>286.10433010000003</v>
      </c>
      <c r="C160" s="34">
        <v>300.84204160000002</v>
      </c>
      <c r="D160" s="34">
        <v>176.46003479999999</v>
      </c>
      <c r="E160" s="34">
        <v>189.74686600000001</v>
      </c>
      <c r="F160" s="34">
        <v>198.7325697</v>
      </c>
      <c r="G160" s="34">
        <v>210.84779649999999</v>
      </c>
      <c r="H160" s="34">
        <v>225.61443650000001</v>
      </c>
      <c r="I160" s="34">
        <v>235.3424627</v>
      </c>
      <c r="J160" s="34">
        <v>255.44303640000001</v>
      </c>
      <c r="K160" s="34">
        <v>275.15999620000002</v>
      </c>
      <c r="L160" s="34">
        <v>211.1290884</v>
      </c>
      <c r="M160" s="34">
        <v>227.27704829999999</v>
      </c>
      <c r="N160" s="34">
        <v>239.11022159999999</v>
      </c>
      <c r="O160" s="34">
        <v>292.4555135</v>
      </c>
      <c r="P160" s="34">
        <v>388.79354009999997</v>
      </c>
      <c r="Q160" s="34">
        <v>408.74258939999999</v>
      </c>
      <c r="R160" s="34">
        <v>456.59531870000001</v>
      </c>
      <c r="S160" s="34">
        <v>510.7376539</v>
      </c>
      <c r="T160" s="34">
        <v>574.55281249999996</v>
      </c>
      <c r="U160" s="34">
        <v>677.48727340000005</v>
      </c>
      <c r="V160" s="34">
        <v>778.08278029999997</v>
      </c>
      <c r="W160" s="34">
        <v>832.0790958</v>
      </c>
      <c r="X160" s="34">
        <v>843.72259589999999</v>
      </c>
      <c r="Y160" s="34">
        <v>734.48819779999997</v>
      </c>
      <c r="Z160" s="34">
        <v>676.36191650000001</v>
      </c>
      <c r="AA160" s="34">
        <v>644.14604799999995</v>
      </c>
      <c r="AB160" s="34">
        <v>609.57704309999997</v>
      </c>
      <c r="AC160" s="34">
        <v>659.95305289999999</v>
      </c>
      <c r="AD160" s="34">
        <v>733.9412969</v>
      </c>
      <c r="AE160" s="34">
        <v>803.99599450000005</v>
      </c>
      <c r="AF160" s="34">
        <v>816.02954569999997</v>
      </c>
      <c r="AG160" s="34">
        <v>816.08041270000001</v>
      </c>
      <c r="AH160" s="34">
        <v>929.28628219999996</v>
      </c>
      <c r="AI160" s="34">
        <v>931.56612689999997</v>
      </c>
      <c r="AJ160" s="34">
        <v>1073.0175670000001</v>
      </c>
      <c r="AK160" s="34">
        <v>1212.9444370000001</v>
      </c>
      <c r="AL160" s="34">
        <v>1325.571064</v>
      </c>
      <c r="AM160" s="34">
        <v>1288.580731</v>
      </c>
      <c r="AN160" s="34">
        <v>997.59369330000004</v>
      </c>
      <c r="AO160" s="34">
        <v>1122.032017</v>
      </c>
      <c r="AP160" s="34">
        <v>1072.8017520000001</v>
      </c>
      <c r="AQ160" s="34">
        <v>990.56599129999995</v>
      </c>
      <c r="AR160" s="34">
        <v>1036.1583310000001</v>
      </c>
      <c r="AS160" s="34">
        <v>1048.0082050000001</v>
      </c>
      <c r="AT160" s="34">
        <v>1121.490006</v>
      </c>
      <c r="AU160" s="34">
        <v>1244.348741</v>
      </c>
      <c r="AV160" s="34">
        <v>1452.438089</v>
      </c>
      <c r="AW160" s="34">
        <v>1744.639979</v>
      </c>
      <c r="AX160" s="34">
        <v>1998.02692</v>
      </c>
      <c r="AY160" s="34">
        <v>1904.1963880000001</v>
      </c>
      <c r="AZ160" s="34">
        <v>2217.4721530000002</v>
      </c>
      <c r="BA160" s="34">
        <v>2450.735694</v>
      </c>
      <c r="BB160" s="34">
        <v>2694.3051089999999</v>
      </c>
      <c r="BC160" s="34">
        <v>2871.4297013483701</v>
      </c>
      <c r="BD160" s="34">
        <v>2959.6454349999999</v>
      </c>
      <c r="BE160" s="34">
        <v>3001.0431819999999</v>
      </c>
      <c r="BF160" s="34">
        <v>3073.6546859999999</v>
      </c>
      <c r="BG160" s="34">
        <v>3123.2456419999999</v>
      </c>
      <c r="BH160" s="34">
        <v>3252.1102740000001</v>
      </c>
      <c r="BI160" s="34">
        <v>3485.3408439999998</v>
      </c>
      <c r="BJ160" s="34">
        <v>3298.8295859999998</v>
      </c>
    </row>
    <row r="161" spans="1:62">
      <c r="A161" s="1" t="s">
        <v>1133</v>
      </c>
      <c r="B161" s="34">
        <v>0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7657.9512139999997</v>
      </c>
      <c r="AQ161" s="34">
        <v>8092.2073229999996</v>
      </c>
      <c r="AR161" s="34">
        <v>8307.9574379999995</v>
      </c>
      <c r="AS161" s="34">
        <v>7771.2093679999998</v>
      </c>
      <c r="AT161" s="34">
        <v>8317.113942</v>
      </c>
      <c r="AU161" s="34">
        <v>9626.6124139999993</v>
      </c>
      <c r="AV161" s="34">
        <v>9843.0493729999998</v>
      </c>
      <c r="AW161" s="34">
        <v>10381.423870000001</v>
      </c>
      <c r="AX161" s="34">
        <v>10598.88283</v>
      </c>
      <c r="AY161" s="34">
        <v>10252.75014</v>
      </c>
      <c r="AZ161" s="34">
        <v>10356.633620000001</v>
      </c>
      <c r="BA161" s="34">
        <v>11094.83322</v>
      </c>
      <c r="BB161" s="34">
        <v>12044.10547</v>
      </c>
      <c r="BC161" s="34">
        <v>12561.3361358859</v>
      </c>
      <c r="BD161" s="34">
        <v>13711.761699999999</v>
      </c>
      <c r="BE161" s="34">
        <v>15876.461929999999</v>
      </c>
      <c r="BF161" s="34">
        <v>16835.986000000001</v>
      </c>
      <c r="BG161" s="34">
        <v>16019.989890000001</v>
      </c>
      <c r="BH161" s="34">
        <v>15895.259899999999</v>
      </c>
      <c r="BI161" s="34">
        <v>15232.487080000001</v>
      </c>
      <c r="BJ161" s="34">
        <v>14243.86469</v>
      </c>
    </row>
    <row r="162" spans="1:62">
      <c r="A162" s="1" t="s">
        <v>1134</v>
      </c>
      <c r="B162" s="34">
        <v>102.1766587</v>
      </c>
      <c r="C162" s="34">
        <v>106.5853255</v>
      </c>
      <c r="D162" s="34">
        <v>111.6004653</v>
      </c>
      <c r="E162" s="34">
        <v>115.6641376</v>
      </c>
      <c r="F162" s="34">
        <v>125.42500010000001</v>
      </c>
      <c r="G162" s="34">
        <v>138.4706328</v>
      </c>
      <c r="H162" s="34">
        <v>153.94568269999999</v>
      </c>
      <c r="I162" s="34">
        <v>170.09531279999999</v>
      </c>
      <c r="J162" s="34">
        <v>182.62224269999999</v>
      </c>
      <c r="K162" s="34">
        <v>202.74985390000001</v>
      </c>
      <c r="L162" s="34">
        <v>231.9462843</v>
      </c>
      <c r="M162" s="34">
        <v>251.8724651</v>
      </c>
      <c r="N162" s="34">
        <v>294.29795159999998</v>
      </c>
      <c r="O162" s="34">
        <v>434.59949360000002</v>
      </c>
      <c r="P162" s="34">
        <v>479.04721799999999</v>
      </c>
      <c r="Q162" s="34">
        <v>432.04311189999999</v>
      </c>
      <c r="R162" s="34">
        <v>469.54619719999999</v>
      </c>
      <c r="S162" s="34">
        <v>496.80412990000002</v>
      </c>
      <c r="T162" s="34">
        <v>574.84793249999996</v>
      </c>
      <c r="U162" s="34">
        <v>659.4481356</v>
      </c>
      <c r="V162" s="34">
        <v>712.91907249999997</v>
      </c>
      <c r="W162" s="34">
        <v>681.02477810000005</v>
      </c>
      <c r="X162" s="34">
        <v>628.52378490000001</v>
      </c>
      <c r="Y162" s="34">
        <v>661.8879359</v>
      </c>
      <c r="Z162" s="34">
        <v>641.99153990000002</v>
      </c>
      <c r="AA162" s="34">
        <v>593.81524730000001</v>
      </c>
      <c r="AB162" s="34">
        <v>632.51747239999997</v>
      </c>
      <c r="AC162" s="34">
        <v>732.39217280000003</v>
      </c>
      <c r="AD162" s="34">
        <v>831.03291019999995</v>
      </c>
      <c r="AE162" s="34">
        <v>786.87892710000006</v>
      </c>
      <c r="AF162" s="34">
        <v>697.53896850000001</v>
      </c>
      <c r="AG162" s="34">
        <v>801.47296470000003</v>
      </c>
      <c r="AH162" s="34">
        <v>905.24916800000005</v>
      </c>
      <c r="AI162" s="34">
        <v>1005.151953</v>
      </c>
      <c r="AJ162" s="34">
        <v>1086.2911690000001</v>
      </c>
      <c r="AK162" s="34">
        <v>893.77311910000003</v>
      </c>
      <c r="AL162" s="34">
        <v>970.0904769</v>
      </c>
      <c r="AM162" s="34">
        <v>906.36092040000005</v>
      </c>
      <c r="AN162" s="34">
        <v>678.89666739999996</v>
      </c>
      <c r="AO162" s="34">
        <v>608.28153069999996</v>
      </c>
      <c r="AP162" s="34">
        <v>602.18649029999995</v>
      </c>
      <c r="AQ162" s="34">
        <v>515.68478040000002</v>
      </c>
      <c r="AR162" s="34">
        <v>491.83430809999999</v>
      </c>
      <c r="AS162" s="34">
        <v>568.24634860000003</v>
      </c>
      <c r="AT162" s="34">
        <v>618.03670320000003</v>
      </c>
      <c r="AU162" s="34">
        <v>749.18651160000002</v>
      </c>
      <c r="AV162" s="34">
        <v>1256.979648</v>
      </c>
      <c r="AW162" s="34">
        <v>1401.949447</v>
      </c>
      <c r="AX162" s="34">
        <v>1672.951024</v>
      </c>
      <c r="AY162" s="34">
        <v>1626.3128549999999</v>
      </c>
      <c r="AZ162" s="34">
        <v>1949.351185</v>
      </c>
      <c r="BA162" s="34">
        <v>2406.9109669999998</v>
      </c>
      <c r="BB162" s="34">
        <v>2790.6763030000002</v>
      </c>
      <c r="BC162" s="34">
        <v>2729.8887512111</v>
      </c>
      <c r="BD162" s="34">
        <v>2920.7829860000002</v>
      </c>
      <c r="BE162" s="34">
        <v>2679.346579</v>
      </c>
      <c r="BF162" s="34">
        <v>2509.629637</v>
      </c>
      <c r="BG162" s="34">
        <v>2695.2490090000001</v>
      </c>
      <c r="BH162" s="34">
        <v>2801.3713929999999</v>
      </c>
      <c r="BI162" s="34">
        <v>2820.3063969999998</v>
      </c>
      <c r="BJ162" s="34">
        <v>2757.2175299999999</v>
      </c>
    </row>
    <row r="163" spans="1:62">
      <c r="A163" s="1" t="s">
        <v>1135</v>
      </c>
      <c r="B163" s="34">
        <v>0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1731.209531</v>
      </c>
      <c r="AG163" s="34">
        <v>2235.5410889999998</v>
      </c>
      <c r="AH163" s="34">
        <v>2459.020685</v>
      </c>
      <c r="AI163" s="34">
        <v>2497.1952409999999</v>
      </c>
      <c r="AJ163" s="34">
        <v>2874.8253110000001</v>
      </c>
      <c r="AK163" s="34">
        <v>3686.8193000000001</v>
      </c>
      <c r="AL163" s="34">
        <v>4147.4655009999997</v>
      </c>
      <c r="AM163" s="34">
        <v>4123.1356180000002</v>
      </c>
      <c r="AN163" s="34">
        <v>4518.1082260000003</v>
      </c>
      <c r="AO163" s="34">
        <v>4398.0810430000001</v>
      </c>
      <c r="AP163" s="34">
        <v>4501.4540669999997</v>
      </c>
      <c r="AQ163" s="34">
        <v>4991.2443579999999</v>
      </c>
      <c r="AR163" s="34">
        <v>5207.171421</v>
      </c>
      <c r="AS163" s="34">
        <v>5701.6022119999998</v>
      </c>
      <c r="AT163" s="34">
        <v>6681.3864720000001</v>
      </c>
      <c r="AU163" s="34">
        <v>8021.5057429999997</v>
      </c>
      <c r="AV163" s="34">
        <v>9035.4104669999997</v>
      </c>
      <c r="AW163" s="34">
        <v>11254.517390000001</v>
      </c>
      <c r="AX163" s="34">
        <v>13996.025149999999</v>
      </c>
      <c r="AY163" s="34">
        <v>11526.05589</v>
      </c>
      <c r="AZ163" s="34">
        <v>12613.011</v>
      </c>
      <c r="BA163" s="34">
        <v>13879.56099</v>
      </c>
      <c r="BB163" s="34">
        <v>13097.270850000001</v>
      </c>
      <c r="BC163" s="34">
        <v>13696.4663046143</v>
      </c>
      <c r="BD163" s="34">
        <v>14271.305850000001</v>
      </c>
      <c r="BE163" s="34">
        <v>12578.49547</v>
      </c>
      <c r="BF163" s="34">
        <v>12447.43959</v>
      </c>
      <c r="BG163" s="34">
        <v>13864.681759999999</v>
      </c>
      <c r="BH163" s="34">
        <v>15468.48222</v>
      </c>
      <c r="BI163" s="34">
        <v>15732.20313</v>
      </c>
      <c r="BJ163" s="34">
        <v>15720.99466</v>
      </c>
    </row>
    <row r="164" spans="1:62">
      <c r="A164" s="1" t="s">
        <v>1137</v>
      </c>
      <c r="B164" s="34">
        <v>717.51484310000001</v>
      </c>
      <c r="C164" s="34">
        <v>777.21502740000005</v>
      </c>
      <c r="D164" s="34">
        <v>854.74480500000004</v>
      </c>
      <c r="E164" s="34">
        <v>931.751666</v>
      </c>
      <c r="F164" s="34">
        <v>1006.434446</v>
      </c>
      <c r="G164" s="34">
        <v>1110.8326910000001</v>
      </c>
      <c r="H164" s="34">
        <v>1207.8118239999999</v>
      </c>
      <c r="I164" s="34">
        <v>1335.2741120000001</v>
      </c>
      <c r="J164" s="34">
        <v>1480.693176</v>
      </c>
      <c r="K164" s="34">
        <v>1661.8668849999999</v>
      </c>
      <c r="L164" s="34">
        <v>1852.354673</v>
      </c>
      <c r="M164" s="34">
        <v>2044.3199059999999</v>
      </c>
      <c r="N164" s="34">
        <v>2246.4767139999999</v>
      </c>
      <c r="O164" s="34">
        <v>2432.4142189999998</v>
      </c>
      <c r="P164" s="34">
        <v>2614.5009409999998</v>
      </c>
      <c r="Q164" s="34">
        <v>2738.2431529999999</v>
      </c>
      <c r="R164" s="34">
        <v>2946.461953</v>
      </c>
      <c r="S164" s="34">
        <v>3208.7713560000002</v>
      </c>
      <c r="T164" s="34">
        <v>3567.7526290000001</v>
      </c>
      <c r="U164" s="34">
        <v>4024.5094199999999</v>
      </c>
      <c r="V164" s="34">
        <v>4502.838428</v>
      </c>
      <c r="W164" s="34">
        <v>4920.7229369999995</v>
      </c>
      <c r="X164" s="34">
        <v>5115.0085140000001</v>
      </c>
      <c r="Y164" s="34">
        <v>5217.7227290000001</v>
      </c>
      <c r="Z164" s="34">
        <v>5730.1170089999996</v>
      </c>
      <c r="AA164" s="34">
        <v>6008.054486</v>
      </c>
      <c r="AB164" s="34">
        <v>6455.1844609999998</v>
      </c>
      <c r="AC164" s="34">
        <v>6980.490143</v>
      </c>
      <c r="AD164" s="34">
        <v>7595.4446559999997</v>
      </c>
      <c r="AE164" s="34">
        <v>8033.0894410000001</v>
      </c>
      <c r="AF164" s="34">
        <v>8652.5074920000006</v>
      </c>
      <c r="AG164" s="34">
        <v>9064.0185170000004</v>
      </c>
      <c r="AH164" s="34">
        <v>9659.3389000000006</v>
      </c>
      <c r="AI164" s="34">
        <v>10212.276760000001</v>
      </c>
      <c r="AJ164" s="34">
        <v>10876.418820000001</v>
      </c>
      <c r="AK164" s="34">
        <v>11579.184999999999</v>
      </c>
      <c r="AL164" s="34">
        <v>12173.163689999999</v>
      </c>
      <c r="AM164" s="34">
        <v>12817.64496</v>
      </c>
      <c r="AN164" s="34">
        <v>14304.404990000001</v>
      </c>
      <c r="AO164" s="34">
        <v>15220.99134</v>
      </c>
      <c r="AP164" s="34">
        <v>16192.126969999999</v>
      </c>
      <c r="AQ164" s="34">
        <v>18123.198700000001</v>
      </c>
      <c r="AR164" s="34">
        <v>18731.45939</v>
      </c>
      <c r="AS164" s="34">
        <v>19557.12025</v>
      </c>
      <c r="AT164" s="34">
        <v>20988.992330000001</v>
      </c>
      <c r="AU164" s="34">
        <v>21959.322700000001</v>
      </c>
      <c r="AV164" s="34">
        <v>22935.941159999998</v>
      </c>
      <c r="AW164" s="34">
        <v>23664.88235</v>
      </c>
      <c r="AX164" s="34">
        <v>24898.334589999999</v>
      </c>
      <c r="AY164" s="34">
        <v>25768.725890000002</v>
      </c>
      <c r="AZ164" s="34">
        <v>26435.748790000001</v>
      </c>
      <c r="BA164" s="34">
        <v>27278.88305</v>
      </c>
      <c r="BB164" s="34">
        <v>27944.73389</v>
      </c>
      <c r="BC164" s="34">
        <v>28513.165735106701</v>
      </c>
      <c r="BD164" s="34">
        <v>28981.457330000001</v>
      </c>
      <c r="BE164" s="34">
        <v>29763.488300000001</v>
      </c>
      <c r="BF164" s="34">
        <v>30627.163400000001</v>
      </c>
      <c r="BG164" s="34">
        <v>31108.760569999999</v>
      </c>
      <c r="BH164" s="34">
        <v>31604.701509999999</v>
      </c>
      <c r="BI164" s="34">
        <v>32850.548609999998</v>
      </c>
      <c r="BJ164" s="34">
        <v>32290.921139999999</v>
      </c>
    </row>
    <row r="165" spans="1:62">
      <c r="A165" s="1" t="s">
        <v>1195</v>
      </c>
      <c r="B165" s="34">
        <v>0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/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</row>
    <row r="166" spans="1:62">
      <c r="A166" s="1" t="s">
        <v>1136</v>
      </c>
      <c r="B166" s="34">
        <v>360.49929850000001</v>
      </c>
      <c r="C166" s="34">
        <v>382.72994699999998</v>
      </c>
      <c r="D166" s="34">
        <v>407.85284360000003</v>
      </c>
      <c r="E166" s="34">
        <v>432.51172960000002</v>
      </c>
      <c r="F166" s="34">
        <v>468.78108159999999</v>
      </c>
      <c r="G166" s="34">
        <v>520.91065939999999</v>
      </c>
      <c r="H166" s="34">
        <v>575.00768070000004</v>
      </c>
      <c r="I166" s="34">
        <v>646.82272009999997</v>
      </c>
      <c r="J166" s="34">
        <v>719.08049189999997</v>
      </c>
      <c r="K166" s="34">
        <v>795.75937139999996</v>
      </c>
      <c r="L166" s="34">
        <v>934.08215610000002</v>
      </c>
      <c r="M166" s="34">
        <v>1064.5377129999999</v>
      </c>
      <c r="N166" s="34">
        <v>1302.2662680000001</v>
      </c>
      <c r="O166" s="34">
        <v>1747.989041</v>
      </c>
      <c r="P166" s="34">
        <v>2000.418246</v>
      </c>
      <c r="Q166" s="34">
        <v>2127.6375069999999</v>
      </c>
      <c r="R166" s="34">
        <v>2173.283934</v>
      </c>
      <c r="S166" s="34">
        <v>2267.3710030000002</v>
      </c>
      <c r="T166" s="34">
        <v>2457.313216</v>
      </c>
      <c r="U166" s="34">
        <v>2755.6246179999998</v>
      </c>
      <c r="V166" s="34">
        <v>3368.366669</v>
      </c>
      <c r="W166" s="34">
        <v>3245.9752140000001</v>
      </c>
      <c r="X166" s="34">
        <v>3079.9495659999998</v>
      </c>
      <c r="Y166" s="34">
        <v>2735.491066</v>
      </c>
      <c r="Z166" s="34">
        <v>2522.747476</v>
      </c>
      <c r="AA166" s="34">
        <v>2705.193002</v>
      </c>
      <c r="AB166" s="34">
        <v>3861.948433</v>
      </c>
      <c r="AC166" s="34">
        <v>4803.8660950000003</v>
      </c>
      <c r="AD166" s="34">
        <v>5623.6970000000001</v>
      </c>
      <c r="AE166" s="34">
        <v>6056.3810279999998</v>
      </c>
      <c r="AF166" s="34">
        <v>7884.617988</v>
      </c>
      <c r="AG166" s="34">
        <v>8958.9853330000005</v>
      </c>
      <c r="AH166" s="34">
        <v>10810.566510000001</v>
      </c>
      <c r="AI166" s="34">
        <v>9534.6563640000004</v>
      </c>
      <c r="AJ166" s="34">
        <v>9977.3199089999998</v>
      </c>
      <c r="AK166" s="34">
        <v>11781.361849999999</v>
      </c>
      <c r="AL166" s="34">
        <v>12185.091399999999</v>
      </c>
      <c r="AM166" s="34">
        <v>11575.50711</v>
      </c>
      <c r="AN166" s="34">
        <v>12199.206389999999</v>
      </c>
      <c r="AO166" s="34">
        <v>12471.07936</v>
      </c>
      <c r="AP166" s="34">
        <v>11497.75346</v>
      </c>
      <c r="AQ166" s="34">
        <v>11724.611500000001</v>
      </c>
      <c r="AR166" s="34">
        <v>12875.32079</v>
      </c>
      <c r="AS166" s="34">
        <v>15762.97579</v>
      </c>
      <c r="AT166" s="34">
        <v>18031.00042</v>
      </c>
      <c r="AU166" s="34">
        <v>18773.125359999998</v>
      </c>
      <c r="AV166" s="34">
        <v>19822.846030000001</v>
      </c>
      <c r="AW166" s="34">
        <v>22782.09462</v>
      </c>
      <c r="AX166" s="34">
        <v>24847.545139999998</v>
      </c>
      <c r="AY166" s="34">
        <v>23059.797449999998</v>
      </c>
      <c r="AZ166" s="34">
        <v>22498.690859999999</v>
      </c>
      <c r="BA166" s="34">
        <v>23186.913130000001</v>
      </c>
      <c r="BB166" s="34">
        <v>20564.889859999999</v>
      </c>
      <c r="BC166" s="34">
        <v>21647.041811886898</v>
      </c>
      <c r="BD166" s="34">
        <v>22074.300759999998</v>
      </c>
      <c r="BE166" s="34">
        <v>19242.366470000001</v>
      </c>
      <c r="BF166" s="34">
        <v>19978.40121</v>
      </c>
      <c r="BG166" s="34">
        <v>21437.3475</v>
      </c>
      <c r="BH166" s="34">
        <v>23551.048289999999</v>
      </c>
      <c r="BI166" s="34">
        <v>23330.817289999999</v>
      </c>
      <c r="BJ166" s="34">
        <v>22176.296709999999</v>
      </c>
    </row>
    <row r="167" spans="1:62">
      <c r="A167" s="1" t="s">
        <v>482</v>
      </c>
      <c r="B167" s="34">
        <v>0</v>
      </c>
      <c r="C167" s="34">
        <v>0</v>
      </c>
      <c r="D167" s="34">
        <v>0</v>
      </c>
      <c r="E167" s="34">
        <v>0</v>
      </c>
      <c r="F167" s="34">
        <v>0</v>
      </c>
      <c r="G167" s="34">
        <v>204.2008304</v>
      </c>
      <c r="H167" s="34">
        <v>208.85013530000001</v>
      </c>
      <c r="I167" s="34">
        <v>215.06689729999999</v>
      </c>
      <c r="J167" s="34">
        <v>220.09654800000001</v>
      </c>
      <c r="K167" s="34">
        <v>230.5024334</v>
      </c>
      <c r="L167" s="34">
        <v>240.2705038</v>
      </c>
      <c r="M167" s="34">
        <v>262.0676904</v>
      </c>
      <c r="N167" s="34">
        <v>296.10918839999999</v>
      </c>
      <c r="O167" s="34">
        <v>374.34195979999998</v>
      </c>
      <c r="P167" s="34">
        <v>489.5614817</v>
      </c>
      <c r="Q167" s="34">
        <v>541.48794120000002</v>
      </c>
      <c r="R167" s="34">
        <v>593.65432559999999</v>
      </c>
      <c r="S167" s="34">
        <v>712.65851540000006</v>
      </c>
      <c r="T167" s="34">
        <v>849.52486769999996</v>
      </c>
      <c r="U167" s="34">
        <v>1103.913114</v>
      </c>
      <c r="V167" s="34">
        <v>1398.054298</v>
      </c>
      <c r="W167" s="34">
        <v>1718.499822</v>
      </c>
      <c r="X167" s="34">
        <v>1608.724557</v>
      </c>
      <c r="Y167" s="34">
        <v>1635.6334870000001</v>
      </c>
      <c r="Z167" s="34">
        <v>1260.743798</v>
      </c>
      <c r="AA167" s="34">
        <v>892.89045169999997</v>
      </c>
      <c r="AB167" s="34">
        <v>984.38305530000002</v>
      </c>
      <c r="AC167" s="34">
        <v>1020.381636</v>
      </c>
      <c r="AD167" s="34">
        <v>1063.4747540000001</v>
      </c>
      <c r="AE167" s="34">
        <v>1156.9246250000001</v>
      </c>
      <c r="AF167" s="34">
        <v>1376.1653249999999</v>
      </c>
      <c r="AG167" s="34">
        <v>1611.3998610000001</v>
      </c>
      <c r="AH167" s="34">
        <v>1610.2122469999999</v>
      </c>
      <c r="AI167" s="34">
        <v>1591.3741580000001</v>
      </c>
      <c r="AJ167" s="34">
        <v>1686.845278</v>
      </c>
      <c r="AK167" s="34">
        <v>1897.0983470000001</v>
      </c>
      <c r="AL167" s="34">
        <v>2002.68346</v>
      </c>
      <c r="AM167" s="34">
        <v>1993.804376</v>
      </c>
      <c r="AN167" s="34">
        <v>1812.993667</v>
      </c>
      <c r="AO167" s="34">
        <v>1694.11121</v>
      </c>
      <c r="AP167" s="34">
        <v>1663.6049390000001</v>
      </c>
      <c r="AQ167" s="34">
        <v>1565.0542889999999</v>
      </c>
      <c r="AR167" s="34">
        <v>1300.852367</v>
      </c>
      <c r="AS167" s="34">
        <v>1365.416418</v>
      </c>
      <c r="AT167" s="34">
        <v>1679.49512</v>
      </c>
      <c r="AU167" s="34">
        <v>1843.634108</v>
      </c>
      <c r="AV167" s="34">
        <v>2271.0888850000001</v>
      </c>
      <c r="AW167" s="34">
        <v>2976.8240139999998</v>
      </c>
      <c r="AX167" s="34">
        <v>4047.909791</v>
      </c>
      <c r="AY167" s="34">
        <v>3626.8186369999999</v>
      </c>
      <c r="AZ167" s="34">
        <v>4359.4284150000003</v>
      </c>
      <c r="BA167" s="34">
        <v>5329.3874370000003</v>
      </c>
      <c r="BB167" s="34">
        <v>5185.1415489999999</v>
      </c>
      <c r="BC167" s="34">
        <v>5936.9759590224803</v>
      </c>
      <c r="BD167" s="34">
        <v>6118.3181100000002</v>
      </c>
      <c r="BE167" s="34">
        <v>5413.7760209999997</v>
      </c>
      <c r="BF167" s="34">
        <v>5324.6090679999998</v>
      </c>
      <c r="BG167" s="34">
        <v>5678.8699720000004</v>
      </c>
      <c r="BH167" s="34">
        <v>5782.7845500000003</v>
      </c>
      <c r="BI167" s="34">
        <v>5380.9633219999996</v>
      </c>
      <c r="BJ167" s="34">
        <v>5001.07276</v>
      </c>
    </row>
    <row r="168" spans="1:62">
      <c r="A168" s="1" t="s">
        <v>1196</v>
      </c>
      <c r="B168" s="34">
        <v>0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1201.5815419999999</v>
      </c>
      <c r="AK168" s="34">
        <v>1326.5628569999999</v>
      </c>
      <c r="AL168" s="34">
        <v>1317.4667509999999</v>
      </c>
      <c r="AM168" s="34">
        <v>1389.1649709999999</v>
      </c>
      <c r="AN168" s="34">
        <v>1465.046057</v>
      </c>
      <c r="AO168" s="34">
        <v>1499.4921770000001</v>
      </c>
      <c r="AP168" s="34">
        <v>1476.1718499999999</v>
      </c>
      <c r="AQ168" s="34">
        <v>1335.553195</v>
      </c>
      <c r="AR168" s="34">
        <v>1156.2174729999999</v>
      </c>
      <c r="AS168" s="34">
        <v>1257.69857</v>
      </c>
      <c r="AT168" s="34">
        <v>1422.1908860000001</v>
      </c>
      <c r="AU168" s="34">
        <v>1543.7014140000001</v>
      </c>
      <c r="AV168" s="34">
        <v>1570.1043999999999</v>
      </c>
      <c r="AW168" s="34">
        <v>1664.245717</v>
      </c>
      <c r="AX168" s="34">
        <v>2035.2023409999999</v>
      </c>
      <c r="AY168" s="34">
        <v>2191.7817869999999</v>
      </c>
      <c r="AZ168" s="34">
        <v>2557.0756240000001</v>
      </c>
      <c r="BA168" s="34">
        <v>2880.7984369999999</v>
      </c>
      <c r="BB168" s="34">
        <v>3067.4387270000002</v>
      </c>
      <c r="BC168" s="34">
        <v>3315.29753909282</v>
      </c>
      <c r="BD168" s="34">
        <v>3352.1125950000001</v>
      </c>
      <c r="BE168" s="34">
        <v>3272.1543240000001</v>
      </c>
      <c r="BF168" s="34">
        <v>3527.613824</v>
      </c>
      <c r="BG168" s="34">
        <v>3620.3604869999999</v>
      </c>
      <c r="BH168" s="34">
        <v>3562.3309429999999</v>
      </c>
      <c r="BI168" s="34">
        <v>3656.8582710000001</v>
      </c>
      <c r="BJ168" s="34">
        <v>3239.7311079999999</v>
      </c>
    </row>
    <row r="169" spans="1:62">
      <c r="A169" s="1" t="s">
        <v>1138</v>
      </c>
      <c r="B169" s="34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2755.5564850000001</v>
      </c>
      <c r="M169" s="34">
        <v>3246.7158869999998</v>
      </c>
      <c r="N169" s="34">
        <v>3909.8880559999998</v>
      </c>
      <c r="O169" s="34">
        <v>5583.6178399999999</v>
      </c>
      <c r="P169" s="34">
        <v>15631.693139999999</v>
      </c>
      <c r="Q169" s="34">
        <v>15292.57418</v>
      </c>
      <c r="R169" s="34">
        <v>18906.153330000001</v>
      </c>
      <c r="S169" s="34">
        <v>19842.036059999999</v>
      </c>
      <c r="T169" s="34">
        <v>21109.996050000002</v>
      </c>
      <c r="U169" s="34">
        <v>27455.014899999998</v>
      </c>
      <c r="V169" s="34">
        <v>35010.395279999997</v>
      </c>
      <c r="W169" s="34">
        <v>34926.703999999998</v>
      </c>
      <c r="X169" s="34">
        <v>27402.267489999998</v>
      </c>
      <c r="Y169" s="34">
        <v>20910.45334</v>
      </c>
      <c r="Z169" s="34">
        <v>19645.31466</v>
      </c>
      <c r="AA169" s="34">
        <v>16590.80272</v>
      </c>
      <c r="AB169" s="34">
        <v>12704.366309999999</v>
      </c>
      <c r="AC169" s="34">
        <v>12901.52096</v>
      </c>
      <c r="AD169" s="34">
        <v>13611.44569</v>
      </c>
      <c r="AE169" s="34">
        <v>14052.589819999999</v>
      </c>
      <c r="AF169" s="34">
        <v>15454.17967</v>
      </c>
      <c r="AG169" s="34">
        <v>14124.263849999999</v>
      </c>
      <c r="AH169" s="34">
        <v>15434.21009</v>
      </c>
      <c r="AI169" s="34">
        <v>14270.973770000001</v>
      </c>
      <c r="AJ169" s="34">
        <v>14544.005590000001</v>
      </c>
      <c r="AK169" s="34">
        <v>15849.56574</v>
      </c>
      <c r="AL169" s="34">
        <v>17337.421869999998</v>
      </c>
      <c r="AM169" s="34">
        <v>21104.763719999999</v>
      </c>
      <c r="AN169" s="34">
        <v>18593.414069999999</v>
      </c>
      <c r="AO169" s="34">
        <v>21723.814200000001</v>
      </c>
      <c r="AP169" s="34">
        <v>29976.16763</v>
      </c>
      <c r="AQ169" s="34">
        <v>28517.220840000002</v>
      </c>
      <c r="AR169" s="34">
        <v>30214.670419999999</v>
      </c>
      <c r="AS169" s="34">
        <v>34517.603210000001</v>
      </c>
      <c r="AT169" s="34">
        <v>42124.940840000003</v>
      </c>
      <c r="AU169" s="34">
        <v>51455.950940000002</v>
      </c>
      <c r="AV169" s="34">
        <v>59530.561000000002</v>
      </c>
      <c r="AW169" s="34">
        <v>65421.376920000002</v>
      </c>
      <c r="AX169" s="34">
        <v>80234.190830000007</v>
      </c>
      <c r="AY169" s="34">
        <v>59094.659180000002</v>
      </c>
      <c r="AZ169" s="34">
        <v>67403.087679999997</v>
      </c>
      <c r="BA169" s="34">
        <v>82409.941649999993</v>
      </c>
      <c r="BB169" s="34">
        <v>85075.986539999998</v>
      </c>
      <c r="BC169" s="34">
        <v>85050.684341095694</v>
      </c>
      <c r="BD169" s="34">
        <v>83858.340460000007</v>
      </c>
      <c r="BE169" s="34">
        <v>63039.112630000003</v>
      </c>
      <c r="BF169" s="34">
        <v>57162.968009999997</v>
      </c>
      <c r="BG169" s="34">
        <v>59124.867270000002</v>
      </c>
      <c r="BH169" s="34">
        <v>65907.948439999993</v>
      </c>
      <c r="BI169" s="34">
        <v>62276.428690000001</v>
      </c>
      <c r="BJ169" s="34">
        <v>50124.38594</v>
      </c>
    </row>
    <row r="170" spans="1:62">
      <c r="A170" s="1" t="s">
        <v>1086</v>
      </c>
      <c r="B170" s="34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1673.838364</v>
      </c>
      <c r="AD170" s="34">
        <v>1769.8899309999999</v>
      </c>
      <c r="AE170" s="34">
        <v>1817.9021009999999</v>
      </c>
      <c r="AF170" s="34">
        <v>1680.7056230000001</v>
      </c>
      <c r="AG170" s="34">
        <v>1260.749045</v>
      </c>
      <c r="AH170" s="34">
        <v>1102.103785</v>
      </c>
      <c r="AI170" s="34">
        <v>1158.1325159999999</v>
      </c>
      <c r="AJ170" s="34">
        <v>1323.104325</v>
      </c>
      <c r="AK170" s="34">
        <v>1650.2764810000001</v>
      </c>
      <c r="AL170" s="34">
        <v>1633.010644</v>
      </c>
      <c r="AM170" s="34">
        <v>1577.323357</v>
      </c>
      <c r="AN170" s="34">
        <v>1852.4673089999999</v>
      </c>
      <c r="AO170" s="34">
        <v>1599.889533</v>
      </c>
      <c r="AP170" s="34">
        <v>1659.9076399999999</v>
      </c>
      <c r="AQ170" s="34">
        <v>1825.179805</v>
      </c>
      <c r="AR170" s="34">
        <v>2119.8826730000001</v>
      </c>
      <c r="AS170" s="34">
        <v>2679.4119099999998</v>
      </c>
      <c r="AT170" s="34">
        <v>3494.9445169999999</v>
      </c>
      <c r="AU170" s="34">
        <v>4617.929016</v>
      </c>
      <c r="AV170" s="34">
        <v>5757.4964289999998</v>
      </c>
      <c r="AW170" s="34">
        <v>8360.1663210000006</v>
      </c>
      <c r="AX170" s="34">
        <v>10435.04398</v>
      </c>
      <c r="AY170" s="34">
        <v>8548.1186720000005</v>
      </c>
      <c r="AZ170" s="34">
        <v>8214.0768929999995</v>
      </c>
      <c r="BA170" s="34">
        <v>9099.2175389999993</v>
      </c>
      <c r="BB170" s="34">
        <v>8507.1047749999998</v>
      </c>
      <c r="BC170" s="34">
        <v>9547.8521509661205</v>
      </c>
      <c r="BD170" s="34">
        <v>10043.677449999999</v>
      </c>
      <c r="BE170" s="34">
        <v>8969.148921</v>
      </c>
      <c r="BF170" s="34">
        <v>9548.5874029999995</v>
      </c>
      <c r="BG170" s="34">
        <v>10807.009169999999</v>
      </c>
      <c r="BH170" s="34">
        <v>12398.98198</v>
      </c>
      <c r="BI170" s="34">
        <v>12899.34611</v>
      </c>
      <c r="BJ170" s="34">
        <v>12896.08862</v>
      </c>
    </row>
    <row r="171" spans="1:62">
      <c r="A171" s="1" t="s">
        <v>1139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3777.235373</v>
      </c>
      <c r="AE171" s="34">
        <v>3428.7621530000001</v>
      </c>
      <c r="AF171" s="34">
        <v>3492.7103139999999</v>
      </c>
      <c r="AG171" s="34">
        <v>3490.4525050000002</v>
      </c>
      <c r="AH171" s="34">
        <v>3098.802639</v>
      </c>
      <c r="AI171" s="34">
        <v>2930.6702009999999</v>
      </c>
      <c r="AJ171" s="34">
        <v>2662.104034</v>
      </c>
      <c r="AK171" s="34">
        <v>2665.7798670000002</v>
      </c>
      <c r="AL171" s="34">
        <v>2643.929196</v>
      </c>
      <c r="AM171" s="34">
        <v>2737.5720240000001</v>
      </c>
      <c r="AN171" s="34">
        <v>1834.8618429999999</v>
      </c>
      <c r="AO171" s="34">
        <v>1330.7572359999999</v>
      </c>
      <c r="AP171" s="34">
        <v>1771.594059</v>
      </c>
      <c r="AQ171" s="34">
        <v>2100.3525119999999</v>
      </c>
      <c r="AR171" s="34">
        <v>2377.5295769999998</v>
      </c>
      <c r="AS171" s="34">
        <v>2975.1253529999999</v>
      </c>
      <c r="AT171" s="34">
        <v>4102.3648329999996</v>
      </c>
      <c r="AU171" s="34">
        <v>5323.4630829999996</v>
      </c>
      <c r="AV171" s="34">
        <v>6920.1891249999999</v>
      </c>
      <c r="AW171" s="34">
        <v>9101.2550489999994</v>
      </c>
      <c r="AX171" s="34">
        <v>11635.272929999999</v>
      </c>
      <c r="AY171" s="34">
        <v>8562.8132769999993</v>
      </c>
      <c r="AZ171" s="34">
        <v>10674.995779999999</v>
      </c>
      <c r="BA171" s="34">
        <v>14311.08432</v>
      </c>
      <c r="BB171" s="34">
        <v>15420.874540000001</v>
      </c>
      <c r="BC171" s="34">
        <v>15974.644627051701</v>
      </c>
      <c r="BD171" s="34">
        <v>14095.648740000001</v>
      </c>
      <c r="BE171" s="34">
        <v>9313.0136249999996</v>
      </c>
      <c r="BF171" s="34">
        <v>8704.8984130000008</v>
      </c>
      <c r="BG171" s="34">
        <v>10720.33266</v>
      </c>
      <c r="BH171" s="34">
        <v>11287.35528</v>
      </c>
      <c r="BI171" s="34">
        <v>11497.64925</v>
      </c>
      <c r="BJ171" s="34">
        <v>10126.72179</v>
      </c>
    </row>
    <row r="172" spans="1:62">
      <c r="A172" s="1" t="s">
        <v>1088</v>
      </c>
      <c r="B172" s="34">
        <v>40.537211280000001</v>
      </c>
      <c r="C172" s="34">
        <v>40.68926811</v>
      </c>
      <c r="D172" s="34">
        <v>40.944181950000001</v>
      </c>
      <c r="E172" s="34">
        <v>41.218296930000001</v>
      </c>
      <c r="F172" s="34">
        <v>41.083879379999999</v>
      </c>
      <c r="G172" s="34">
        <v>45.989282760000002</v>
      </c>
      <c r="H172" s="34">
        <v>37.488839319999997</v>
      </c>
      <c r="I172" s="34">
        <v>46.64274253</v>
      </c>
      <c r="J172" s="34">
        <v>48.784099779999998</v>
      </c>
      <c r="K172" s="34">
        <v>51.794609299999998</v>
      </c>
      <c r="L172" s="34">
        <v>58.52527645</v>
      </c>
      <c r="M172" s="34">
        <v>57.589235340000002</v>
      </c>
      <c r="N172" s="34">
        <v>61.811902250000003</v>
      </c>
      <c r="O172" s="34">
        <v>70.802985169999999</v>
      </c>
      <c r="P172" s="34">
        <v>72.894402580000005</v>
      </c>
      <c r="Q172" s="34">
        <v>131.01979900000001</v>
      </c>
      <c r="R172" s="34">
        <v>141.53101090000001</v>
      </c>
      <c r="S172" s="34">
        <v>160.38424280000001</v>
      </c>
      <c r="T172" s="34">
        <v>188.1847569</v>
      </c>
      <c r="U172" s="34">
        <v>222.8134383</v>
      </c>
      <c r="V172" s="34">
        <v>243.48707450000001</v>
      </c>
      <c r="W172" s="34">
        <v>264.02638409999997</v>
      </c>
      <c r="X172" s="34">
        <v>255.63701230000001</v>
      </c>
      <c r="Y172" s="34">
        <v>260.0054447</v>
      </c>
      <c r="Z172" s="34">
        <v>268.92327669999997</v>
      </c>
      <c r="AA172" s="34">
        <v>279.10496430000001</v>
      </c>
      <c r="AB172" s="34">
        <v>301.79812449999997</v>
      </c>
      <c r="AC172" s="34">
        <v>318.20650019999999</v>
      </c>
      <c r="AD172" s="34">
        <v>337.95546189999999</v>
      </c>
      <c r="AE172" s="34">
        <v>330.4971213</v>
      </c>
      <c r="AF172" s="34">
        <v>349.87330960000003</v>
      </c>
      <c r="AG172" s="34">
        <v>269.85042329999999</v>
      </c>
      <c r="AH172" s="34">
        <v>302.7386376</v>
      </c>
      <c r="AI172" s="34">
        <v>314.75130410000003</v>
      </c>
      <c r="AJ172" s="34">
        <v>126.954894</v>
      </c>
      <c r="AK172" s="34">
        <v>221.6289261</v>
      </c>
      <c r="AL172" s="34">
        <v>229.8867674</v>
      </c>
      <c r="AM172" s="34">
        <v>288.40930209999999</v>
      </c>
      <c r="AN172" s="34">
        <v>285.7102739</v>
      </c>
      <c r="AO172" s="34">
        <v>287.37381920000001</v>
      </c>
      <c r="AP172" s="34">
        <v>260.6011858</v>
      </c>
      <c r="AQ172" s="34">
        <v>238.7812778</v>
      </c>
      <c r="AR172" s="34">
        <v>233.15126359999999</v>
      </c>
      <c r="AS172" s="34">
        <v>249.74331309999999</v>
      </c>
      <c r="AT172" s="34">
        <v>273.63369030000001</v>
      </c>
      <c r="AU172" s="34">
        <v>331.69011339999997</v>
      </c>
      <c r="AV172" s="34">
        <v>366.89439240000002</v>
      </c>
      <c r="AW172" s="34">
        <v>438.66418449999998</v>
      </c>
      <c r="AX172" s="34">
        <v>543.54535650000003</v>
      </c>
      <c r="AY172" s="34">
        <v>579.72661500000004</v>
      </c>
      <c r="AZ172" s="34">
        <v>609.724917</v>
      </c>
      <c r="BA172" s="34">
        <v>668.49467219999997</v>
      </c>
      <c r="BB172" s="34">
        <v>725.16977029999998</v>
      </c>
      <c r="BC172" s="34">
        <v>722.89432850874903</v>
      </c>
      <c r="BD172" s="34">
        <v>743.55903799999999</v>
      </c>
      <c r="BE172" s="34">
        <v>751.07739260000005</v>
      </c>
      <c r="BF172" s="34">
        <v>744.76074879999999</v>
      </c>
      <c r="BG172" s="34">
        <v>772.3169891</v>
      </c>
      <c r="BH172" s="34">
        <v>783.63716280000006</v>
      </c>
      <c r="BI172" s="34">
        <v>820.14928859999998</v>
      </c>
      <c r="BJ172" s="34">
        <v>797.85552070000006</v>
      </c>
    </row>
    <row r="173" spans="1:62">
      <c r="A173" s="1" t="s">
        <v>1197</v>
      </c>
      <c r="B173" s="34">
        <v>82.34539891</v>
      </c>
      <c r="C173" s="34">
        <v>86.046082760000004</v>
      </c>
      <c r="D173" s="34">
        <v>89.911328040000001</v>
      </c>
      <c r="E173" s="34">
        <v>98.978579629999999</v>
      </c>
      <c r="F173" s="34">
        <v>110.8746439</v>
      </c>
      <c r="G173" s="34">
        <v>116.4844985</v>
      </c>
      <c r="H173" s="34">
        <v>95.799548220000005</v>
      </c>
      <c r="I173" s="34">
        <v>103.0626366</v>
      </c>
      <c r="J173" s="34">
        <v>105.6144063</v>
      </c>
      <c r="K173" s="34">
        <v>113.5083829</v>
      </c>
      <c r="L173" s="34">
        <v>120.12879169999999</v>
      </c>
      <c r="M173" s="34">
        <v>124.90744119999999</v>
      </c>
      <c r="N173" s="34">
        <v>122.74614</v>
      </c>
      <c r="O173" s="34">
        <v>137.15772569999999</v>
      </c>
      <c r="P173" s="34">
        <v>162.37555470000001</v>
      </c>
      <c r="Q173" s="34">
        <v>169.81355909999999</v>
      </c>
      <c r="R173" s="34">
        <v>161.90530279999999</v>
      </c>
      <c r="S173" s="34">
        <v>183.11419699999999</v>
      </c>
      <c r="T173" s="34">
        <v>203.48504980000001</v>
      </c>
      <c r="U173" s="34">
        <v>222.5682114</v>
      </c>
      <c r="V173" s="34">
        <v>262.07725290000002</v>
      </c>
      <c r="W173" s="34">
        <v>271.3147007</v>
      </c>
      <c r="X173" s="34">
        <v>274.13427969999998</v>
      </c>
      <c r="Y173" s="34">
        <v>283.43235349999998</v>
      </c>
      <c r="Z173" s="34">
        <v>275.58860550000003</v>
      </c>
      <c r="AA173" s="34">
        <v>292.80939310000002</v>
      </c>
      <c r="AB173" s="34">
        <v>303.0843175</v>
      </c>
      <c r="AC173" s="34">
        <v>328.98610250000002</v>
      </c>
      <c r="AD173" s="34">
        <v>345.6573611</v>
      </c>
      <c r="AE173" s="34">
        <v>341.14229239999997</v>
      </c>
      <c r="AF173" s="34">
        <v>359.23166939999999</v>
      </c>
      <c r="AG173" s="34">
        <v>312.65764150000001</v>
      </c>
      <c r="AH173" s="34">
        <v>324.90734309999999</v>
      </c>
      <c r="AI173" s="34">
        <v>314.99853580000001</v>
      </c>
      <c r="AJ173" s="34">
        <v>349.86357450000003</v>
      </c>
      <c r="AK173" s="34">
        <v>380.353701</v>
      </c>
      <c r="AL173" s="34">
        <v>407.75155180000002</v>
      </c>
      <c r="AM173" s="34">
        <v>419.31978809999998</v>
      </c>
      <c r="AN173" s="34">
        <v>416.9828766</v>
      </c>
      <c r="AO173" s="34">
        <v>438.310721</v>
      </c>
      <c r="AP173" s="34">
        <v>453.2376041</v>
      </c>
      <c r="AQ173" s="34">
        <v>455.85801889999999</v>
      </c>
      <c r="AR173" s="34">
        <v>469.71218599999997</v>
      </c>
      <c r="AS173" s="34">
        <v>538.71113600000001</v>
      </c>
      <c r="AT173" s="34">
        <v>613.94779740000001</v>
      </c>
      <c r="AU173" s="34">
        <v>691.69261719999997</v>
      </c>
      <c r="AV173" s="34">
        <v>774.8637986</v>
      </c>
      <c r="AW173" s="34">
        <v>959.30512639999995</v>
      </c>
      <c r="AX173" s="34">
        <v>959.46124940000004</v>
      </c>
      <c r="AY173" s="34">
        <v>1041.9802110000001</v>
      </c>
      <c r="AZ173" s="34">
        <v>1257.4995080000001</v>
      </c>
      <c r="BA173" s="34">
        <v>1368.9451019999999</v>
      </c>
      <c r="BB173" s="34">
        <v>1366.0594249999999</v>
      </c>
      <c r="BC173" s="34">
        <v>1383.31690853854</v>
      </c>
      <c r="BD173" s="34">
        <v>1496.0149960000001</v>
      </c>
      <c r="BE173" s="34">
        <v>1543.048131</v>
      </c>
      <c r="BF173" s="34">
        <v>1652.2518009999999</v>
      </c>
      <c r="BG173" s="34">
        <v>1867.443968</v>
      </c>
      <c r="BH173" s="34">
        <v>1894.0088840000001</v>
      </c>
      <c r="BI173" s="34">
        <v>1959.5258449999999</v>
      </c>
      <c r="BJ173" s="34">
        <v>1823.712912</v>
      </c>
    </row>
    <row r="174" spans="1:62">
      <c r="A174" s="1" t="s">
        <v>1142</v>
      </c>
      <c r="B174" s="34">
        <v>0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777.26727259999996</v>
      </c>
      <c r="K174" s="34">
        <v>801.04473919999998</v>
      </c>
      <c r="L174" s="34">
        <v>921.33505319999995</v>
      </c>
      <c r="M174" s="34">
        <v>1177.724612</v>
      </c>
      <c r="N174" s="34">
        <v>1511.6703809999999</v>
      </c>
      <c r="O174" s="34">
        <v>2227.006073</v>
      </c>
      <c r="P174" s="34">
        <v>6437.4180889999998</v>
      </c>
      <c r="Q174" s="34">
        <v>6304.1164470000003</v>
      </c>
      <c r="R174" s="34">
        <v>8202.7700199999999</v>
      </c>
      <c r="S174" s="34">
        <v>9038.8791870000005</v>
      </c>
      <c r="T174" s="34">
        <v>9282.6611659999999</v>
      </c>
      <c r="U174" s="34">
        <v>12241.257149999999</v>
      </c>
      <c r="V174" s="34">
        <v>16977.985929999999</v>
      </c>
      <c r="W174" s="34">
        <v>17871.991999999998</v>
      </c>
      <c r="X174" s="34">
        <v>13944.951279999999</v>
      </c>
      <c r="Y174" s="34">
        <v>11039.239799999999</v>
      </c>
      <c r="Z174" s="34">
        <v>9632.5387460000002</v>
      </c>
      <c r="AA174" s="34">
        <v>7919.6515470000004</v>
      </c>
      <c r="AB174" s="34">
        <v>6304.2598379999999</v>
      </c>
      <c r="AC174" s="34">
        <v>5932.2955099999999</v>
      </c>
      <c r="AD174" s="34">
        <v>5856.3823389999998</v>
      </c>
      <c r="AE174" s="34">
        <v>6085.9564650000002</v>
      </c>
      <c r="AF174" s="34">
        <v>7246.0159199999998</v>
      </c>
      <c r="AG174" s="34">
        <v>7883.2452679999997</v>
      </c>
      <c r="AH174" s="34">
        <v>7932.0932329999996</v>
      </c>
      <c r="AI174" s="34">
        <v>7485.5417559999996</v>
      </c>
      <c r="AJ174" s="34">
        <v>7421.289194</v>
      </c>
      <c r="AK174" s="34">
        <v>7690.5762839999998</v>
      </c>
      <c r="AL174" s="34">
        <v>8335.8047420000003</v>
      </c>
      <c r="AM174" s="34">
        <v>8551.6760589999994</v>
      </c>
      <c r="AN174" s="34">
        <v>7419.1611439999997</v>
      </c>
      <c r="AO174" s="34">
        <v>8007.9581939999998</v>
      </c>
      <c r="AP174" s="34">
        <v>9171.3314759999994</v>
      </c>
      <c r="AQ174" s="34">
        <v>8684.6457620000001</v>
      </c>
      <c r="AR174" s="34">
        <v>8695.3964830000004</v>
      </c>
      <c r="AS174" s="34">
        <v>9609.9686860000002</v>
      </c>
      <c r="AT174" s="34">
        <v>11185.13704</v>
      </c>
      <c r="AU174" s="34">
        <v>13791.454760000001</v>
      </c>
      <c r="AV174" s="34">
        <v>15384.738359999999</v>
      </c>
      <c r="AW174" s="34">
        <v>16516.63178</v>
      </c>
      <c r="AX174" s="34">
        <v>20078.26007</v>
      </c>
      <c r="AY174" s="34">
        <v>16113.14371</v>
      </c>
      <c r="AZ174" s="34">
        <v>19262.547600000002</v>
      </c>
      <c r="BA174" s="34">
        <v>23745.880580000001</v>
      </c>
      <c r="BB174" s="34">
        <v>25243.601999999999</v>
      </c>
      <c r="BC174" s="34">
        <v>24845.124663786199</v>
      </c>
      <c r="BD174" s="34">
        <v>24464.21256</v>
      </c>
      <c r="BE174" s="34">
        <v>20627.926930000001</v>
      </c>
      <c r="BF174" s="34">
        <v>19878.76384</v>
      </c>
      <c r="BG174" s="34">
        <v>20802.46631</v>
      </c>
      <c r="BH174" s="34">
        <v>23337.01755</v>
      </c>
      <c r="BI174" s="34">
        <v>23139.797979999999</v>
      </c>
      <c r="BJ174" s="34">
        <v>20110.316190000001</v>
      </c>
    </row>
    <row r="175" spans="1:62">
      <c r="A175" s="1" t="s">
        <v>1097</v>
      </c>
      <c r="B175" s="34">
        <v>125.85983899999999</v>
      </c>
      <c r="C175" s="34">
        <v>133.08224609999999</v>
      </c>
      <c r="D175" s="34">
        <v>140.7251235</v>
      </c>
      <c r="E175" s="34">
        <v>139.30984100000001</v>
      </c>
      <c r="F175" s="34">
        <v>139.223411</v>
      </c>
      <c r="G175" s="34">
        <v>141.08192930000001</v>
      </c>
      <c r="H175" s="34">
        <v>140.68578070000001</v>
      </c>
      <c r="I175" s="34">
        <v>147.99767370000001</v>
      </c>
      <c r="J175" s="34">
        <v>150.02253680000001</v>
      </c>
      <c r="K175" s="34">
        <v>160.3841481</v>
      </c>
      <c r="L175" s="34">
        <v>176.95402809999999</v>
      </c>
      <c r="M175" s="34">
        <v>187.07694179999999</v>
      </c>
      <c r="N175" s="34">
        <v>196.91080969999999</v>
      </c>
      <c r="O175" s="34">
        <v>236.61722040000001</v>
      </c>
      <c r="P175" s="34">
        <v>294.98523180000001</v>
      </c>
      <c r="Q175" s="34">
        <v>348.01007920000001</v>
      </c>
      <c r="R175" s="34">
        <v>419.93101960000001</v>
      </c>
      <c r="S175" s="34">
        <v>506.65971719999999</v>
      </c>
      <c r="T175" s="34">
        <v>431.81208400000003</v>
      </c>
      <c r="U175" s="34">
        <v>491.57742510000003</v>
      </c>
      <c r="V175" s="34">
        <v>392.41484780000002</v>
      </c>
      <c r="W175" s="34">
        <v>509.130652</v>
      </c>
      <c r="X175" s="34">
        <v>453.79618190000002</v>
      </c>
      <c r="Y175" s="34">
        <v>390.78129710000002</v>
      </c>
      <c r="Z175" s="34">
        <v>445.94849690000001</v>
      </c>
      <c r="AA175" s="34">
        <v>552.97454600000003</v>
      </c>
      <c r="AB175" s="34">
        <v>683.0674027</v>
      </c>
      <c r="AC175" s="34">
        <v>849.61233179999999</v>
      </c>
      <c r="AD175" s="34">
        <v>632.33537609999996</v>
      </c>
      <c r="AE175" s="34">
        <v>611.94830030000003</v>
      </c>
      <c r="AF175" s="34">
        <v>483.95261090000002</v>
      </c>
      <c r="AG175" s="34">
        <v>432.47895</v>
      </c>
      <c r="AH175" s="34">
        <v>260.51035960000002</v>
      </c>
      <c r="AI175" s="34">
        <v>320.48533149999997</v>
      </c>
      <c r="AJ175" s="34">
        <v>449.71058299999999</v>
      </c>
      <c r="AK175" s="34">
        <v>473.41347089999999</v>
      </c>
      <c r="AL175" s="34">
        <v>300.56493030000001</v>
      </c>
      <c r="AM175" s="34">
        <v>378.95476170000001</v>
      </c>
      <c r="AN175" s="34">
        <v>355.1525542</v>
      </c>
      <c r="AO175" s="34">
        <v>328.06865299999998</v>
      </c>
      <c r="AP175" s="34">
        <v>366.17274200000003</v>
      </c>
      <c r="AQ175" s="34">
        <v>383.01607660000002</v>
      </c>
      <c r="AR175" s="34">
        <v>418.25175860000002</v>
      </c>
      <c r="AS175" s="34">
        <v>484.84490829999999</v>
      </c>
      <c r="AT175" s="34">
        <v>573.30694140000003</v>
      </c>
      <c r="AU175" s="34">
        <v>689.20961069999998</v>
      </c>
      <c r="AV175" s="34">
        <v>905.30969909999999</v>
      </c>
      <c r="AW175" s="34">
        <v>1128.4102660000001</v>
      </c>
      <c r="AX175" s="34">
        <v>1304.5330509999999</v>
      </c>
      <c r="AY175" s="34">
        <v>1163.797223</v>
      </c>
      <c r="AZ175" s="34">
        <v>1489.8740869999999</v>
      </c>
      <c r="BA175" s="34">
        <v>1437.7798310000001</v>
      </c>
      <c r="BB175" s="34">
        <v>1332.9141870000001</v>
      </c>
      <c r="BC175" s="34">
        <v>1381.4894621170999</v>
      </c>
      <c r="BD175" s="34">
        <v>1625.4637279999999</v>
      </c>
      <c r="BE175" s="34">
        <v>1656.905841</v>
      </c>
      <c r="BF175" s="34">
        <v>1325.156019</v>
      </c>
      <c r="BG175" s="34">
        <v>1103.0000259999999</v>
      </c>
      <c r="BH175" s="34">
        <v>825.86894110000003</v>
      </c>
      <c r="BI175" s="34">
        <v>753.28217410000002</v>
      </c>
      <c r="BJ175" s="34">
        <v>595.46783300000004</v>
      </c>
    </row>
    <row r="176" spans="1:62">
      <c r="A176" s="1" t="s">
        <v>1090</v>
      </c>
      <c r="B176" s="34">
        <v>312.99296279999999</v>
      </c>
      <c r="C176" s="34">
        <v>321.36123959999998</v>
      </c>
      <c r="D176" s="34">
        <v>320.50153890000001</v>
      </c>
      <c r="E176" s="34">
        <v>322.30073329999999</v>
      </c>
      <c r="F176" s="34">
        <v>332.0811554</v>
      </c>
      <c r="G176" s="34">
        <v>328.5631692</v>
      </c>
      <c r="H176" s="34">
        <v>329.05331339999998</v>
      </c>
      <c r="I176" s="34">
        <v>319.63935170000002</v>
      </c>
      <c r="J176" s="34">
        <v>326.19579649999997</v>
      </c>
      <c r="K176" s="34">
        <v>301.26716579999999</v>
      </c>
      <c r="L176" s="34">
        <v>304.7340906</v>
      </c>
      <c r="M176" s="34">
        <v>305.30804649999999</v>
      </c>
      <c r="N176" s="34">
        <v>358.36792639999999</v>
      </c>
      <c r="O176" s="34">
        <v>399.80862389999999</v>
      </c>
      <c r="P176" s="34">
        <v>437.61573440000001</v>
      </c>
      <c r="Q176" s="34">
        <v>574.13322949999997</v>
      </c>
      <c r="R176" s="34">
        <v>567.44414099999995</v>
      </c>
      <c r="S176" s="34">
        <v>567.02566290000004</v>
      </c>
      <c r="T176" s="34">
        <v>618.15508920000002</v>
      </c>
      <c r="U176" s="34">
        <v>751.02534419999995</v>
      </c>
      <c r="V176" s="34">
        <v>807.80592950000005</v>
      </c>
      <c r="W176" s="34">
        <v>713.5152286</v>
      </c>
      <c r="X176" s="34">
        <v>679.21007420000001</v>
      </c>
      <c r="Y176" s="34">
        <v>586.14290019999999</v>
      </c>
      <c r="Z176" s="34">
        <v>555.19069309999998</v>
      </c>
      <c r="AA176" s="34">
        <v>590.13297009999997</v>
      </c>
      <c r="AB176" s="34">
        <v>808.32923070000004</v>
      </c>
      <c r="AC176" s="34">
        <v>943.51249780000001</v>
      </c>
      <c r="AD176" s="34">
        <v>905.70909340000003</v>
      </c>
      <c r="AE176" s="34">
        <v>871.64096180000001</v>
      </c>
      <c r="AF176" s="34">
        <v>982.01787630000001</v>
      </c>
      <c r="AG176" s="34">
        <v>935.49195980000002</v>
      </c>
      <c r="AH176" s="34">
        <v>972.4318336</v>
      </c>
      <c r="AI176" s="34">
        <v>895.61328479999997</v>
      </c>
      <c r="AJ176" s="34">
        <v>595.03000680000002</v>
      </c>
      <c r="AK176" s="34">
        <v>727.98965759999999</v>
      </c>
      <c r="AL176" s="34">
        <v>735.98190920000002</v>
      </c>
      <c r="AM176" s="34">
        <v>661.65375979999999</v>
      </c>
      <c r="AN176" s="34">
        <v>695.95237810000003</v>
      </c>
      <c r="AO176" s="34">
        <v>688.99889689999998</v>
      </c>
      <c r="AP176" s="34">
        <v>613.73238449999997</v>
      </c>
      <c r="AQ176" s="34">
        <v>648.44147329999998</v>
      </c>
      <c r="AR176" s="34">
        <v>681.3118508</v>
      </c>
      <c r="AS176" s="34">
        <v>831.83104030000004</v>
      </c>
      <c r="AT176" s="34">
        <v>932.16809539999997</v>
      </c>
      <c r="AU176" s="34">
        <v>992.68805810000003</v>
      </c>
      <c r="AV176" s="34">
        <v>1027.7314409999999</v>
      </c>
      <c r="AW176" s="34">
        <v>1197.4095609999999</v>
      </c>
      <c r="AX176" s="34">
        <v>1403.9493849999999</v>
      </c>
      <c r="AY176" s="34">
        <v>1308.9378079999999</v>
      </c>
      <c r="AZ176" s="34">
        <v>1271.5832809999999</v>
      </c>
      <c r="BA176" s="34">
        <v>1366.7745010000001</v>
      </c>
      <c r="BB176" s="34">
        <v>1317.779802</v>
      </c>
      <c r="BC176" s="34">
        <v>1372.66577931902</v>
      </c>
      <c r="BD176" s="34">
        <v>1396.6573390000001</v>
      </c>
      <c r="BE176" s="34">
        <v>1219.249415</v>
      </c>
      <c r="BF176" s="34">
        <v>1269.903294</v>
      </c>
      <c r="BG176" s="34">
        <v>1361.7019720000001</v>
      </c>
      <c r="BH176" s="34">
        <v>1458.0690930000001</v>
      </c>
      <c r="BI176" s="34">
        <v>1430.1482590000001</v>
      </c>
      <c r="BJ176" s="34">
        <v>1471.830962</v>
      </c>
    </row>
    <row r="177" spans="1:62">
      <c r="A177" s="1" t="s">
        <v>1145</v>
      </c>
      <c r="B177" s="34">
        <v>428.05898000000002</v>
      </c>
      <c r="C177" s="34">
        <v>449.15107130000001</v>
      </c>
      <c r="D177" s="34">
        <v>472.0858245</v>
      </c>
      <c r="E177" s="34">
        <v>511.20557530000002</v>
      </c>
      <c r="F177" s="34">
        <v>485.5338582</v>
      </c>
      <c r="G177" s="34">
        <v>516.53530330000001</v>
      </c>
      <c r="H177" s="34">
        <v>566.80767760000003</v>
      </c>
      <c r="I177" s="34">
        <v>626.03352770000004</v>
      </c>
      <c r="J177" s="34">
        <v>708.6060665</v>
      </c>
      <c r="K177" s="34">
        <v>812.68279689999997</v>
      </c>
      <c r="L177" s="34">
        <v>925.8039129</v>
      </c>
      <c r="M177" s="34">
        <v>1071.4115400000001</v>
      </c>
      <c r="N177" s="34">
        <v>1264.3751070000001</v>
      </c>
      <c r="O177" s="34">
        <v>1685.4597960000001</v>
      </c>
      <c r="P177" s="34">
        <v>2341.7055140000002</v>
      </c>
      <c r="Q177" s="34">
        <v>2489.9115750000001</v>
      </c>
      <c r="R177" s="34">
        <v>2758.94038</v>
      </c>
      <c r="S177" s="34">
        <v>2846.3359879999998</v>
      </c>
      <c r="T177" s="34">
        <v>3193.9056569999998</v>
      </c>
      <c r="U177" s="34">
        <v>3900.5335530000002</v>
      </c>
      <c r="V177" s="34">
        <v>4928.1391180000001</v>
      </c>
      <c r="W177" s="34">
        <v>5596.5859769999997</v>
      </c>
      <c r="X177" s="34">
        <v>6077.6342409999997</v>
      </c>
      <c r="Y177" s="34">
        <v>6633.2366739999998</v>
      </c>
      <c r="Z177" s="34">
        <v>7228.3175840000004</v>
      </c>
      <c r="AA177" s="34">
        <v>7001.766748</v>
      </c>
      <c r="AB177" s="34">
        <v>6799.9303630000004</v>
      </c>
      <c r="AC177" s="34">
        <v>7539.0293019999999</v>
      </c>
      <c r="AD177" s="34">
        <v>8914.4412260000008</v>
      </c>
      <c r="AE177" s="34">
        <v>10394.539000000001</v>
      </c>
      <c r="AF177" s="34">
        <v>11861.756160000001</v>
      </c>
      <c r="AG177" s="34">
        <v>14502.379989999999</v>
      </c>
      <c r="AH177" s="34">
        <v>16135.91365</v>
      </c>
      <c r="AI177" s="34">
        <v>18290.02824</v>
      </c>
      <c r="AJ177" s="34">
        <v>21553.030900000002</v>
      </c>
      <c r="AK177" s="34">
        <v>24914.411260000001</v>
      </c>
      <c r="AL177" s="34">
        <v>26233.6289</v>
      </c>
      <c r="AM177" s="34">
        <v>26375.971949999999</v>
      </c>
      <c r="AN177" s="34">
        <v>21829.299869999999</v>
      </c>
      <c r="AO177" s="34">
        <v>21796.084439999999</v>
      </c>
      <c r="AP177" s="34">
        <v>23852.32703</v>
      </c>
      <c r="AQ177" s="34">
        <v>21700.020049999999</v>
      </c>
      <c r="AR177" s="34">
        <v>22159.688859999998</v>
      </c>
      <c r="AS177" s="34">
        <v>23730.152450000001</v>
      </c>
      <c r="AT177" s="34">
        <v>27608.537369999998</v>
      </c>
      <c r="AU177" s="34">
        <v>29961.263279999999</v>
      </c>
      <c r="AV177" s="34">
        <v>33769.154159999998</v>
      </c>
      <c r="AW177" s="34">
        <v>39432.938349999997</v>
      </c>
      <c r="AX177" s="34">
        <v>40007.469259999998</v>
      </c>
      <c r="AY177" s="34">
        <v>38927.206879999998</v>
      </c>
      <c r="AZ177" s="34">
        <v>47236.960229999997</v>
      </c>
      <c r="BA177" s="34">
        <v>53890.42873</v>
      </c>
      <c r="BB177" s="34">
        <v>55546.488539999998</v>
      </c>
      <c r="BC177" s="34">
        <v>56967.425794038303</v>
      </c>
      <c r="BD177" s="34">
        <v>57562.530789999997</v>
      </c>
      <c r="BE177" s="34">
        <v>55646.618750000001</v>
      </c>
      <c r="BF177" s="34">
        <v>56848.175389999997</v>
      </c>
      <c r="BG177" s="34">
        <v>61176.456359999996</v>
      </c>
      <c r="BH177" s="34">
        <v>66679.046489999993</v>
      </c>
      <c r="BI177" s="34">
        <v>65640.707949999996</v>
      </c>
      <c r="BJ177" s="34">
        <v>59797.752180000003</v>
      </c>
    </row>
    <row r="178" spans="1:62">
      <c r="A178" s="1" t="s">
        <v>1148</v>
      </c>
      <c r="B178" s="34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173.4358483</v>
      </c>
      <c r="J178" s="34">
        <v>187.36950340000001</v>
      </c>
      <c r="K178" s="34">
        <v>184.760133</v>
      </c>
      <c r="L178" s="34">
        <v>0</v>
      </c>
      <c r="M178" s="34">
        <v>301.25167950000002</v>
      </c>
      <c r="N178" s="34">
        <v>235.3330168</v>
      </c>
      <c r="O178" s="34">
        <v>308.25576860000001</v>
      </c>
      <c r="P178" s="34">
        <v>453.7879423</v>
      </c>
      <c r="Q178" s="34">
        <v>385.81546359999999</v>
      </c>
      <c r="R178" s="34">
        <v>414.24865110000002</v>
      </c>
      <c r="S178" s="34">
        <v>448.07003509999998</v>
      </c>
      <c r="T178" s="34">
        <v>515.66468010000006</v>
      </c>
      <c r="U178" s="34">
        <v>678.82574499999998</v>
      </c>
      <c r="V178" s="34">
        <v>794.49428209999996</v>
      </c>
      <c r="W178" s="34">
        <v>814.58480080000004</v>
      </c>
      <c r="X178" s="34">
        <v>781.34908559999997</v>
      </c>
      <c r="Y178" s="34">
        <v>711.39349119999997</v>
      </c>
      <c r="Z178" s="34">
        <v>690.3899735</v>
      </c>
      <c r="AA178" s="34">
        <v>611.01467930000001</v>
      </c>
      <c r="AB178" s="34">
        <v>529.25371559999996</v>
      </c>
      <c r="AC178" s="34">
        <v>541.16482120000001</v>
      </c>
      <c r="AD178" s="34">
        <v>599.06321200000002</v>
      </c>
      <c r="AE178" s="34">
        <v>569.39420989999996</v>
      </c>
      <c r="AF178" s="34">
        <v>688.51911419999999</v>
      </c>
      <c r="AG178" s="34">
        <v>709.64638969999999</v>
      </c>
      <c r="AH178" s="34">
        <v>815.49463619999995</v>
      </c>
      <c r="AI178" s="34">
        <v>886.13544179999997</v>
      </c>
      <c r="AJ178" s="34">
        <v>1153.4475339999999</v>
      </c>
      <c r="AK178" s="34">
        <v>1306.7375300000001</v>
      </c>
      <c r="AL178" s="34">
        <v>1381.8009</v>
      </c>
      <c r="AM178" s="34">
        <v>1385.5705310000001</v>
      </c>
      <c r="AN178" s="34">
        <v>1171.427864</v>
      </c>
      <c r="AO178" s="34">
        <v>1215.1673539999999</v>
      </c>
      <c r="AP178" s="34">
        <v>1017.613757</v>
      </c>
      <c r="AQ178" s="34">
        <v>965.76567509999995</v>
      </c>
      <c r="AR178" s="34">
        <v>795.60153379999997</v>
      </c>
      <c r="AS178" s="34">
        <v>788.61311929999999</v>
      </c>
      <c r="AT178" s="34">
        <v>867.10717220000004</v>
      </c>
      <c r="AU178" s="34">
        <v>1014.85528</v>
      </c>
      <c r="AV178" s="34">
        <v>1119.693297</v>
      </c>
      <c r="AW178" s="34">
        <v>1260.2894040000001</v>
      </c>
      <c r="AX178" s="34">
        <v>1388.9638769999999</v>
      </c>
      <c r="AY178" s="34">
        <v>1428.5056729999999</v>
      </c>
      <c r="AZ178" s="34">
        <v>1604.2058300000001</v>
      </c>
      <c r="BA178" s="34">
        <v>1938.8911869999999</v>
      </c>
      <c r="BB178" s="34">
        <v>2141.8215220000002</v>
      </c>
      <c r="BC178" s="34">
        <v>2248.6149350511701</v>
      </c>
      <c r="BD178" s="34">
        <v>2274.887866</v>
      </c>
      <c r="BE178" s="34">
        <v>2167.1199280000001</v>
      </c>
      <c r="BF178" s="34">
        <v>2225.4868419999998</v>
      </c>
      <c r="BG178" s="34">
        <v>2332.844216</v>
      </c>
      <c r="BH178" s="34">
        <v>2411.8629259999998</v>
      </c>
      <c r="BI178" s="34">
        <v>2344.048976</v>
      </c>
      <c r="BJ178" s="34">
        <v>2250.6011640000002</v>
      </c>
    </row>
    <row r="179" spans="1:62">
      <c r="A179" s="1" t="s">
        <v>1092</v>
      </c>
      <c r="B179" s="34">
        <v>138.9386399</v>
      </c>
      <c r="C179" s="34">
        <v>139.3635697</v>
      </c>
      <c r="D179" s="34">
        <v>143.4726483</v>
      </c>
      <c r="E179" s="34">
        <v>143.62030680000001</v>
      </c>
      <c r="F179" s="34">
        <v>150.74897089999999</v>
      </c>
      <c r="G179" s="34">
        <v>143.28049240000001</v>
      </c>
      <c r="H179" s="34">
        <v>147.155821</v>
      </c>
      <c r="I179" s="34">
        <v>134.31745670000001</v>
      </c>
      <c r="J179" s="34">
        <v>124.7574582</v>
      </c>
      <c r="K179" s="34">
        <v>151.74079639999999</v>
      </c>
      <c r="L179" s="34">
        <v>158.2614873</v>
      </c>
      <c r="M179" s="34">
        <v>149.90723460000001</v>
      </c>
      <c r="N179" s="34">
        <v>163.0132868</v>
      </c>
      <c r="O179" s="34">
        <v>197.44652260000001</v>
      </c>
      <c r="P179" s="34">
        <v>218.07926850000001</v>
      </c>
      <c r="Q179" s="34">
        <v>223.67486349999999</v>
      </c>
      <c r="R179" s="34">
        <v>191.74132370000001</v>
      </c>
      <c r="S179" s="34">
        <v>218.19180059999999</v>
      </c>
      <c r="T179" s="34">
        <v>296.44414490000003</v>
      </c>
      <c r="U179" s="34">
        <v>334.80389719999999</v>
      </c>
      <c r="V179" s="34">
        <v>324.83039509999998</v>
      </c>
      <c r="W179" s="34">
        <v>321.8227789</v>
      </c>
      <c r="X179" s="34">
        <v>365.90448520000001</v>
      </c>
      <c r="Y179" s="34">
        <v>274.90177929999999</v>
      </c>
      <c r="Z179" s="34">
        <v>293.31572460000001</v>
      </c>
      <c r="AA179" s="34">
        <v>225.1831913</v>
      </c>
      <c r="AB179" s="34">
        <v>125.15212649999999</v>
      </c>
      <c r="AC179" s="34">
        <v>173.670346</v>
      </c>
      <c r="AD179" s="34">
        <v>253.83121</v>
      </c>
      <c r="AE179" s="34">
        <v>219.29460230000001</v>
      </c>
      <c r="AF179" s="34">
        <v>150.38899749999999</v>
      </c>
      <c r="AG179" s="34">
        <v>179.36121030000001</v>
      </c>
      <c r="AH179" s="34">
        <v>156.40310389999999</v>
      </c>
      <c r="AI179" s="34">
        <v>177.59726280000001</v>
      </c>
      <c r="AJ179" s="34">
        <v>211.59223220000001</v>
      </c>
      <c r="AK179" s="34">
        <v>202.31604279999999</v>
      </c>
      <c r="AL179" s="34">
        <v>218.3668902</v>
      </c>
      <c r="AM179" s="34">
        <v>196.1153817</v>
      </c>
      <c r="AN179" s="34">
        <v>153.45849200000001</v>
      </c>
      <c r="AO179" s="34">
        <v>150.0064246</v>
      </c>
      <c r="AP179" s="34">
        <v>138.6987225</v>
      </c>
      <c r="AQ179" s="34">
        <v>229.37565950000001</v>
      </c>
      <c r="AR179" s="34">
        <v>252.396007</v>
      </c>
      <c r="AS179" s="34">
        <v>266.44690539999999</v>
      </c>
      <c r="AT179" s="34">
        <v>266.5693713</v>
      </c>
      <c r="AU179" s="34">
        <v>292.3490663</v>
      </c>
      <c r="AV179" s="34">
        <v>323.3890184</v>
      </c>
      <c r="AW179" s="34">
        <v>360.37166050000002</v>
      </c>
      <c r="AX179" s="34">
        <v>408.48100849999997</v>
      </c>
      <c r="AY179" s="34">
        <v>391.200943</v>
      </c>
      <c r="AZ179" s="34">
        <v>401.83487609999997</v>
      </c>
      <c r="BA179" s="34">
        <v>448.33766209999999</v>
      </c>
      <c r="BB179" s="34">
        <v>566.37823509999998</v>
      </c>
      <c r="BC179" s="34">
        <v>716.83582690691503</v>
      </c>
      <c r="BD179" s="34">
        <v>714.69979569999998</v>
      </c>
      <c r="BE179" s="34">
        <v>588.2288628</v>
      </c>
      <c r="BF179" s="34">
        <v>501.4151655</v>
      </c>
      <c r="BG179" s="34">
        <v>496.68229489999999</v>
      </c>
      <c r="BH179" s="34">
        <v>533.99153330000001</v>
      </c>
      <c r="BI179" s="34">
        <v>521.75483670000006</v>
      </c>
      <c r="BJ179" s="34">
        <v>509.37659400000001</v>
      </c>
    </row>
    <row r="180" spans="1:62">
      <c r="A180" s="1" t="s">
        <v>1035</v>
      </c>
      <c r="B180" s="34">
        <v>0</v>
      </c>
      <c r="C180" s="34">
        <v>0</v>
      </c>
      <c r="D180" s="34">
        <v>0</v>
      </c>
      <c r="E180" s="34">
        <v>0</v>
      </c>
      <c r="F180" s="34">
        <v>0</v>
      </c>
      <c r="G180" s="34">
        <v>274.17525949999998</v>
      </c>
      <c r="H180" s="34">
        <v>282.18973310000001</v>
      </c>
      <c r="I180" s="34">
        <v>288.18699029999999</v>
      </c>
      <c r="J180" s="34">
        <v>290.02560299999999</v>
      </c>
      <c r="K180" s="34">
        <v>293.38795149999999</v>
      </c>
      <c r="L180" s="34">
        <v>308.43987010000001</v>
      </c>
      <c r="M180" s="34">
        <v>314.61568249999999</v>
      </c>
      <c r="N180" s="34">
        <v>326.76977019999998</v>
      </c>
      <c r="O180" s="34">
        <v>363.82963530000001</v>
      </c>
      <c r="P180" s="34">
        <v>410.28950149999997</v>
      </c>
      <c r="Q180" s="34">
        <v>453.49245150000002</v>
      </c>
      <c r="R180" s="34">
        <v>548.1520223</v>
      </c>
      <c r="S180" s="34">
        <v>678.0392587</v>
      </c>
      <c r="T180" s="34">
        <v>706.61550109999996</v>
      </c>
      <c r="U180" s="34">
        <v>767.79924400000004</v>
      </c>
      <c r="V180" s="34">
        <v>778.44800899999996</v>
      </c>
      <c r="W180" s="34">
        <v>736.59114669999997</v>
      </c>
      <c r="X180" s="34">
        <v>717.54389040000001</v>
      </c>
      <c r="Y180" s="34">
        <v>729.73871039999995</v>
      </c>
      <c r="Z180" s="34">
        <v>751.72502139999995</v>
      </c>
      <c r="AA180" s="34">
        <v>769.80357530000003</v>
      </c>
      <c r="AB180" s="34">
        <v>753.97992820000002</v>
      </c>
      <c r="AC180" s="34">
        <v>781.06000730000005</v>
      </c>
      <c r="AD180" s="34">
        <v>816.21998280000003</v>
      </c>
      <c r="AE180" s="34">
        <v>840.71233589999997</v>
      </c>
      <c r="AF180" s="34">
        <v>914.1317947</v>
      </c>
      <c r="AG180" s="34">
        <v>983.18150419999995</v>
      </c>
      <c r="AH180" s="34">
        <v>1073.3102530000001</v>
      </c>
      <c r="AI180" s="34">
        <v>1216.7008410000001</v>
      </c>
      <c r="AJ180" s="34">
        <v>1380.7083749999999</v>
      </c>
      <c r="AK180" s="34">
        <v>1585.108896</v>
      </c>
      <c r="AL180" s="34">
        <v>1684.7845050000001</v>
      </c>
      <c r="AM180" s="34">
        <v>1778.836337</v>
      </c>
      <c r="AN180" s="34">
        <v>1886.359966</v>
      </c>
      <c r="AO180" s="34">
        <v>1930.627457</v>
      </c>
      <c r="AP180" s="34">
        <v>2001.540049</v>
      </c>
      <c r="AQ180" s="34">
        <v>2072.3015909999999</v>
      </c>
      <c r="AR180" s="34">
        <v>2124.1018199999999</v>
      </c>
      <c r="AS180" s="34">
        <v>2209.497245</v>
      </c>
      <c r="AT180" s="34">
        <v>2278.4303300000001</v>
      </c>
      <c r="AU180" s="34">
        <v>2428.5688789999999</v>
      </c>
      <c r="AV180" s="34">
        <v>2631.8227390000002</v>
      </c>
      <c r="AW180" s="34">
        <v>2786.1577739999998</v>
      </c>
      <c r="AX180" s="34">
        <v>2933.3942400000001</v>
      </c>
      <c r="AY180" s="34">
        <v>2858.4833440000002</v>
      </c>
      <c r="AZ180" s="34">
        <v>2983.2288060000001</v>
      </c>
      <c r="BA180" s="34">
        <v>3266.0109779999998</v>
      </c>
      <c r="BB180" s="34">
        <v>3428.4093320000002</v>
      </c>
      <c r="BC180" s="34">
        <v>3509.52653622458</v>
      </c>
      <c r="BD180" s="34">
        <v>3589.0428849999998</v>
      </c>
      <c r="BE180" s="34">
        <v>3705.5797040000002</v>
      </c>
      <c r="BF180" s="34">
        <v>3805.9956860000002</v>
      </c>
      <c r="BG180" s="34">
        <v>3910.2544029999999</v>
      </c>
      <c r="BH180" s="34">
        <v>4052.6247750000002</v>
      </c>
      <c r="BI180" s="34">
        <v>4167.730939</v>
      </c>
      <c r="BJ180" s="34">
        <v>3798.6365209999999</v>
      </c>
    </row>
    <row r="181" spans="1:62">
      <c r="A181" s="1" t="s">
        <v>1198</v>
      </c>
      <c r="B181" s="34">
        <v>0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40864.325470000003</v>
      </c>
      <c r="AP181" s="34">
        <v>36604.49338</v>
      </c>
      <c r="AQ181" s="34">
        <v>38730.803039999999</v>
      </c>
      <c r="AR181" s="34">
        <v>41464.746429999999</v>
      </c>
      <c r="AS181" s="34">
        <v>51270.129229999999</v>
      </c>
      <c r="AT181" s="34">
        <v>59558.772720000001</v>
      </c>
      <c r="AU181" s="34">
        <v>60900.543290000001</v>
      </c>
      <c r="AV181" s="34">
        <v>64261.032729999999</v>
      </c>
      <c r="AW181" s="34">
        <v>72697.705990000002</v>
      </c>
      <c r="AX181" s="34">
        <v>78643.550650000005</v>
      </c>
      <c r="AY181" s="34">
        <v>66703.218229999999</v>
      </c>
      <c r="AZ181" s="34">
        <v>60254.776299999998</v>
      </c>
      <c r="BA181" s="34">
        <v>57297.513310000002</v>
      </c>
      <c r="BB181" s="34">
        <v>49988.463629999998</v>
      </c>
      <c r="BC181" s="34">
        <v>51570.983954708303</v>
      </c>
      <c r="BD181" s="34">
        <v>50817.330820000003</v>
      </c>
      <c r="BE181" s="34">
        <v>42662.902650000004</v>
      </c>
      <c r="BF181" s="34">
        <v>43828.232459999999</v>
      </c>
      <c r="BG181" s="34">
        <v>45399.029060000001</v>
      </c>
      <c r="BH181" s="34">
        <v>48996.592250000002</v>
      </c>
      <c r="BI181" s="34">
        <v>47731.20854</v>
      </c>
      <c r="BJ181" s="34">
        <v>0</v>
      </c>
    </row>
    <row r="182" spans="1:62">
      <c r="A182" s="1" t="s">
        <v>391</v>
      </c>
      <c r="B182" s="34">
        <v>65.479716109999998</v>
      </c>
      <c r="C182" s="34">
        <v>68.106396970000006</v>
      </c>
      <c r="D182" s="34">
        <v>70.813048969999997</v>
      </c>
      <c r="E182" s="34">
        <v>73.607204260000003</v>
      </c>
      <c r="F182" s="34">
        <v>76.480398469999997</v>
      </c>
      <c r="G182" s="34">
        <v>79.428813160000004</v>
      </c>
      <c r="H182" s="34">
        <v>81.871114239999997</v>
      </c>
      <c r="I182" s="34">
        <v>84.198964579999995</v>
      </c>
      <c r="J182" s="34">
        <v>86.550321620000005</v>
      </c>
      <c r="K182" s="34">
        <v>90.45797623</v>
      </c>
      <c r="L182" s="34">
        <v>93.654680499999998</v>
      </c>
      <c r="M182" s="34">
        <v>95.353888499999996</v>
      </c>
      <c r="N182" s="34">
        <v>119.8182066</v>
      </c>
      <c r="O182" s="34">
        <v>144.34455249999999</v>
      </c>
      <c r="P182" s="34">
        <v>128.70334</v>
      </c>
      <c r="Q182" s="34">
        <v>183.19536489999999</v>
      </c>
      <c r="R182" s="34">
        <v>188.6610689</v>
      </c>
      <c r="S182" s="34">
        <v>103.8186092</v>
      </c>
      <c r="T182" s="34">
        <v>105.1133335</v>
      </c>
      <c r="U182" s="34">
        <v>100.1940609</v>
      </c>
      <c r="V182" s="34">
        <v>96.096066800000003</v>
      </c>
      <c r="W182" s="34">
        <v>107.37212700000001</v>
      </c>
      <c r="X182" s="34">
        <v>117.1935354</v>
      </c>
      <c r="Y182" s="34">
        <v>110.884784</v>
      </c>
      <c r="Z182" s="34">
        <v>119.1748173</v>
      </c>
      <c r="AA182" s="34">
        <v>131.81736409999999</v>
      </c>
      <c r="AB182" s="34">
        <v>138.0960504</v>
      </c>
      <c r="AC182" s="34">
        <v>147.151477</v>
      </c>
      <c r="AD182" s="34">
        <v>148.21667199999999</v>
      </c>
      <c r="AE182" s="34">
        <v>153.14071039999999</v>
      </c>
      <c r="AF182" s="34">
        <v>126.9249732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50">
        <f t="shared" ref="AP182:BA182" si="0">AQ182</f>
        <v>297.95535776596103</v>
      </c>
      <c r="AQ182" s="50">
        <f t="shared" si="0"/>
        <v>297.95535776596103</v>
      </c>
      <c r="AR182" s="50">
        <f t="shared" si="0"/>
        <v>297.95535776596103</v>
      </c>
      <c r="AS182" s="50">
        <f t="shared" si="0"/>
        <v>297.95535776596103</v>
      </c>
      <c r="AT182" s="50">
        <f t="shared" si="0"/>
        <v>297.95535776596103</v>
      </c>
      <c r="AU182" s="50">
        <f t="shared" si="0"/>
        <v>297.95535776596103</v>
      </c>
      <c r="AV182" s="50">
        <f t="shared" si="0"/>
        <v>297.95535776596103</v>
      </c>
      <c r="AW182" s="50">
        <f t="shared" si="0"/>
        <v>297.95535776596103</v>
      </c>
      <c r="AX182" s="50">
        <f t="shared" si="0"/>
        <v>297.95535776596103</v>
      </c>
      <c r="AY182" s="50">
        <f t="shared" si="0"/>
        <v>297.95535776596103</v>
      </c>
      <c r="AZ182" s="50">
        <f t="shared" si="0"/>
        <v>297.95535776596103</v>
      </c>
      <c r="BA182" s="50">
        <f t="shared" si="0"/>
        <v>297.95535776596103</v>
      </c>
      <c r="BB182" s="50">
        <f>BC182</f>
        <v>297.95535776596103</v>
      </c>
      <c r="BC182" s="34">
        <v>297.95535776596103</v>
      </c>
      <c r="BD182" s="34">
        <v>295.26660989999999</v>
      </c>
      <c r="BE182" s="34">
        <v>293.45517189999998</v>
      </c>
      <c r="BF182" s="34">
        <v>295.96739259999998</v>
      </c>
      <c r="BG182" s="34">
        <v>309.05438029999999</v>
      </c>
      <c r="BH182" s="34">
        <v>314.54267800000002</v>
      </c>
      <c r="BI182" s="34">
        <v>320.03814829999999</v>
      </c>
      <c r="BJ182" s="34">
        <v>313.87231500000001</v>
      </c>
    </row>
    <row r="183" spans="1:62">
      <c r="A183" s="1" t="s">
        <v>1143</v>
      </c>
      <c r="B183" s="34">
        <v>0</v>
      </c>
      <c r="C183" s="34">
        <v>0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2207.4505979999999</v>
      </c>
      <c r="AL183" s="34">
        <v>2864.0847269999999</v>
      </c>
      <c r="AM183" s="34">
        <v>3380.041416</v>
      </c>
      <c r="AN183" s="34">
        <v>2571.1727099999998</v>
      </c>
      <c r="AO183" s="34">
        <v>2571.30404</v>
      </c>
      <c r="AP183" s="34">
        <v>914.7857199</v>
      </c>
      <c r="AQ183" s="34">
        <v>1727.2811959999999</v>
      </c>
      <c r="AR183" s="34">
        <v>2283.846685</v>
      </c>
      <c r="AS183" s="34">
        <v>3005.426352</v>
      </c>
      <c r="AT183" s="34">
        <v>3502.8029240000001</v>
      </c>
      <c r="AU183" s="34">
        <v>3720.479155</v>
      </c>
      <c r="AV183" s="34">
        <v>4382.6172790000001</v>
      </c>
      <c r="AW183" s="34">
        <v>5848.4764050000003</v>
      </c>
      <c r="AX183" s="34">
        <v>7101.0401410000004</v>
      </c>
      <c r="AY183" s="34">
        <v>6169.1141950000001</v>
      </c>
      <c r="AZ183" s="34">
        <v>5735.4228569999996</v>
      </c>
      <c r="BA183" s="34">
        <v>6809.1598039999999</v>
      </c>
      <c r="BB183" s="34">
        <v>6015.9452279999996</v>
      </c>
      <c r="BC183" s="34">
        <v>6755.0736746162902</v>
      </c>
      <c r="BD183" s="34">
        <v>6600.0568089999997</v>
      </c>
      <c r="BE183" s="34">
        <v>5588.9807280000005</v>
      </c>
      <c r="BF183" s="34">
        <v>5765.2007620000004</v>
      </c>
      <c r="BG183" s="34">
        <v>6292.5436289999998</v>
      </c>
      <c r="BH183" s="34">
        <v>7252.4018580000002</v>
      </c>
      <c r="BI183" s="34">
        <v>7417.203649</v>
      </c>
      <c r="BJ183" s="34">
        <v>7720.5105720000001</v>
      </c>
    </row>
    <row r="184" spans="1:62">
      <c r="A184" s="1" t="s">
        <v>412</v>
      </c>
      <c r="B184" s="34">
        <v>0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1669.4937520000001</v>
      </c>
      <c r="AY184" s="34">
        <v>1337.882231</v>
      </c>
      <c r="AZ184" s="34">
        <v>1535.7068919999999</v>
      </c>
      <c r="BA184" s="34">
        <v>1516.404378</v>
      </c>
      <c r="BB184" s="34">
        <v>1179.7397109999999</v>
      </c>
      <c r="BC184" s="34">
        <v>1779.47036531513</v>
      </c>
      <c r="BD184" s="34">
        <v>1322.8203639999999</v>
      </c>
      <c r="BE184" s="34">
        <v>1119.651437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</row>
    <row r="185" spans="1:62">
      <c r="A185" s="1" t="s">
        <v>1199</v>
      </c>
      <c r="B185" s="34">
        <v>128.7511427</v>
      </c>
      <c r="C185" s="34">
        <v>130.7111999</v>
      </c>
      <c r="D185" s="34">
        <v>138.3149808</v>
      </c>
      <c r="E185" s="34">
        <v>154.71429800000001</v>
      </c>
      <c r="F185" s="34">
        <v>147.4853991</v>
      </c>
      <c r="G185" s="34">
        <v>160.2979536</v>
      </c>
      <c r="H185" s="34">
        <v>168.7446951</v>
      </c>
      <c r="I185" s="34">
        <v>162.7179696</v>
      </c>
      <c r="J185" s="34">
        <v>169.65941190000001</v>
      </c>
      <c r="K185" s="34">
        <v>189.10688730000001</v>
      </c>
      <c r="L185" s="34">
        <v>216.8202253</v>
      </c>
      <c r="M185" s="34">
        <v>214.78663890000001</v>
      </c>
      <c r="N185" s="34">
        <v>236.28307029999999</v>
      </c>
      <c r="O185" s="34">
        <v>294.23112609999998</v>
      </c>
      <c r="P185" s="34">
        <v>373.313108</v>
      </c>
      <c r="Q185" s="34">
        <v>400.94011719999997</v>
      </c>
      <c r="R185" s="34">
        <v>422.50939920000002</v>
      </c>
      <c r="S185" s="34">
        <v>452.01547499999998</v>
      </c>
      <c r="T185" s="34">
        <v>486.27086730000002</v>
      </c>
      <c r="U185" s="34">
        <v>568.25956759999997</v>
      </c>
      <c r="V185" s="34">
        <v>695.97180019999996</v>
      </c>
      <c r="W185" s="34">
        <v>942.73039389999997</v>
      </c>
      <c r="X185" s="34">
        <v>843.26444730000003</v>
      </c>
      <c r="Y185" s="34">
        <v>713.94897500000002</v>
      </c>
      <c r="Z185" s="34">
        <v>606.23545999999999</v>
      </c>
      <c r="AA185" s="34">
        <v>559.01241070000003</v>
      </c>
      <c r="AB185" s="34">
        <v>559.78978810000001</v>
      </c>
      <c r="AC185" s="34">
        <v>619.35396530000003</v>
      </c>
      <c r="AD185" s="34">
        <v>618.09991319999995</v>
      </c>
      <c r="AE185" s="34">
        <v>597.63625379999996</v>
      </c>
      <c r="AF185" s="34">
        <v>655.27994790000002</v>
      </c>
      <c r="AG185" s="34">
        <v>644.60234969999999</v>
      </c>
      <c r="AH185" s="34">
        <v>627.78342769999995</v>
      </c>
      <c r="AI185" s="34">
        <v>599.74195999999995</v>
      </c>
      <c r="AJ185" s="34">
        <v>570.08410200000003</v>
      </c>
      <c r="AK185" s="34">
        <v>645.00018109999996</v>
      </c>
      <c r="AL185" s="34">
        <v>655.65035250000005</v>
      </c>
      <c r="AM185" s="34">
        <v>662.91595619999998</v>
      </c>
      <c r="AN185" s="34">
        <v>624.94149230000005</v>
      </c>
      <c r="AO185" s="34">
        <v>614.78224950000003</v>
      </c>
      <c r="AP185" s="34">
        <v>635.6659611</v>
      </c>
      <c r="AQ185" s="34">
        <v>594.22295450000001</v>
      </c>
      <c r="AR185" s="34">
        <v>629.22604569999999</v>
      </c>
      <c r="AS185" s="34">
        <v>772.49280120000003</v>
      </c>
      <c r="AT185" s="34">
        <v>935.43078860000003</v>
      </c>
      <c r="AU185" s="34">
        <v>1081.8270749999999</v>
      </c>
      <c r="AV185" s="34">
        <v>1241.5496559999999</v>
      </c>
      <c r="AW185" s="34">
        <v>1400.3497050000001</v>
      </c>
      <c r="AX185" s="34">
        <v>1548.33951</v>
      </c>
      <c r="AY185" s="34">
        <v>1441.2879499999999</v>
      </c>
      <c r="AZ185" s="34">
        <v>1654.853607</v>
      </c>
      <c r="BA185" s="34">
        <v>1806.6089899999999</v>
      </c>
      <c r="BB185" s="34">
        <v>1827.6069480000001</v>
      </c>
      <c r="BC185" s="34">
        <v>1892.12434369674</v>
      </c>
      <c r="BD185" s="34">
        <v>1894.0295920000001</v>
      </c>
      <c r="BE185" s="34">
        <v>1687.0384979999999</v>
      </c>
      <c r="BF185" s="34">
        <v>1528.1372040000001</v>
      </c>
      <c r="BG185" s="34">
        <v>1588.3224090000001</v>
      </c>
      <c r="BH185" s="34">
        <v>1626.0624789999999</v>
      </c>
      <c r="BI185" s="34">
        <v>1628.7412770000001</v>
      </c>
      <c r="BJ185" s="34">
        <v>1499.4128129999999</v>
      </c>
    </row>
    <row r="186" spans="1:62">
      <c r="A186" s="1" t="s">
        <v>1200</v>
      </c>
      <c r="B186" s="34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461.03192489999998</v>
      </c>
      <c r="M186" s="34">
        <v>509.38864719999998</v>
      </c>
      <c r="N186" s="34">
        <v>589.36968060000004</v>
      </c>
      <c r="O186" s="34">
        <v>721.37136290000001</v>
      </c>
      <c r="P186" s="34">
        <v>1100.5900879999999</v>
      </c>
      <c r="Q186" s="34">
        <v>1230.374724</v>
      </c>
      <c r="R186" s="34">
        <v>1379.4196030000001</v>
      </c>
      <c r="S186" s="34">
        <v>1538.4557380000001</v>
      </c>
      <c r="T186" s="34">
        <v>1624.294727</v>
      </c>
      <c r="U186" s="34">
        <v>1978.1235879999999</v>
      </c>
      <c r="V186" s="34">
        <v>2581.3203140000001</v>
      </c>
      <c r="W186" s="34">
        <v>2614.0408539999999</v>
      </c>
      <c r="X186" s="34">
        <v>2548.0428929999998</v>
      </c>
      <c r="Y186" s="34">
        <v>2414.1263760000002</v>
      </c>
      <c r="Z186" s="34">
        <v>2342.6282390000001</v>
      </c>
      <c r="AA186" s="34">
        <v>2209.6793349999998</v>
      </c>
      <c r="AB186" s="34">
        <v>2124.0401740000002</v>
      </c>
      <c r="AC186" s="34">
        <v>2376.387279</v>
      </c>
      <c r="AD186" s="34">
        <v>2564.5429680000002</v>
      </c>
      <c r="AE186" s="34">
        <v>2616.2671420000001</v>
      </c>
      <c r="AF186" s="34">
        <v>2973.438431</v>
      </c>
      <c r="AG186" s="34">
        <v>2982.0174160000001</v>
      </c>
      <c r="AH186" s="34">
        <v>3120.5888909999999</v>
      </c>
      <c r="AI186" s="34">
        <v>3030.546836</v>
      </c>
      <c r="AJ186" s="34">
        <v>3140.1635759999999</v>
      </c>
      <c r="AK186" s="34">
        <v>3518.4467519999998</v>
      </c>
      <c r="AL186" s="34">
        <v>3684.4278340000001</v>
      </c>
      <c r="AM186" s="34">
        <v>3880.7533319999998</v>
      </c>
      <c r="AN186" s="34">
        <v>3818.023549</v>
      </c>
      <c r="AO186" s="34">
        <v>4028.9624199999998</v>
      </c>
      <c r="AP186" s="34">
        <v>4390.9266360000001</v>
      </c>
      <c r="AQ186" s="34">
        <v>4345.3221469999999</v>
      </c>
      <c r="AR186" s="34">
        <v>4583.7725579999997</v>
      </c>
      <c r="AS186" s="34">
        <v>5403.0583770000003</v>
      </c>
      <c r="AT186" s="34">
        <v>6400.8531789999997</v>
      </c>
      <c r="AU186" s="34">
        <v>7492.65769</v>
      </c>
      <c r="AV186" s="34">
        <v>8557.8989569999994</v>
      </c>
      <c r="AW186" s="34">
        <v>10043.89903</v>
      </c>
      <c r="AX186" s="34">
        <v>11834.04054</v>
      </c>
      <c r="AY186" s="34">
        <v>9919.7683639999996</v>
      </c>
      <c r="AZ186" s="34">
        <v>11168.490830000001</v>
      </c>
      <c r="BA186" s="34">
        <v>13207.69839</v>
      </c>
      <c r="BB186" s="34">
        <v>13520.977779999999</v>
      </c>
      <c r="BC186" s="34">
        <v>13815.5859619314</v>
      </c>
      <c r="BD186" s="34">
        <v>13995.66049</v>
      </c>
      <c r="BE186" s="34">
        <v>11738.11247</v>
      </c>
      <c r="BF186" s="34">
        <v>11350.72567</v>
      </c>
      <c r="BG186" s="34">
        <v>12032.93397</v>
      </c>
      <c r="BH186" s="34">
        <v>13001.15869</v>
      </c>
      <c r="BI186" s="34">
        <v>12594.676890000001</v>
      </c>
      <c r="BJ186" s="34">
        <v>10770.58978</v>
      </c>
    </row>
    <row r="187" spans="1:62">
      <c r="A187" s="1" t="s">
        <v>1141</v>
      </c>
      <c r="B187" s="34">
        <v>0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524.66987210000002</v>
      </c>
      <c r="AR187" s="34">
        <v>577.62840400000005</v>
      </c>
      <c r="AS187" s="34">
        <v>678.73796389999995</v>
      </c>
      <c r="AT187" s="34">
        <v>745.32029990000001</v>
      </c>
      <c r="AU187" s="34">
        <v>866.50499560000003</v>
      </c>
      <c r="AV187" s="34">
        <v>883.0970413</v>
      </c>
      <c r="AW187" s="34">
        <v>896.86779130000002</v>
      </c>
      <c r="AX187" s="34">
        <v>1098.7552189999999</v>
      </c>
      <c r="AY187" s="34">
        <v>1067.9080530000001</v>
      </c>
      <c r="AZ187" s="34">
        <v>1090.260763</v>
      </c>
      <c r="BA187" s="34">
        <v>1254.541598</v>
      </c>
      <c r="BB187" s="34">
        <v>1330.6201140000001</v>
      </c>
      <c r="BC187" s="34">
        <v>1564.7685479270001</v>
      </c>
      <c r="BD187" s="34">
        <v>1770.467688</v>
      </c>
      <c r="BE187" s="34">
        <v>1584.7756569999999</v>
      </c>
      <c r="BF187" s="34">
        <v>1700.0979970000001</v>
      </c>
      <c r="BG187" s="34">
        <v>1813.8074340000001</v>
      </c>
      <c r="BH187" s="34">
        <v>1953.5132570000001</v>
      </c>
      <c r="BI187" s="34">
        <v>1987.579702</v>
      </c>
      <c r="BJ187" s="34">
        <v>2157.8404460000002</v>
      </c>
    </row>
    <row r="188" spans="1:62">
      <c r="A188" s="1" t="s">
        <v>1153</v>
      </c>
      <c r="B188" s="34">
        <v>346.16319870000001</v>
      </c>
      <c r="C188" s="34">
        <v>363.95832560000002</v>
      </c>
      <c r="D188" s="34">
        <v>382.20563750000002</v>
      </c>
      <c r="E188" s="34">
        <v>403.75707260000001</v>
      </c>
      <c r="F188" s="34">
        <v>419.64985469999999</v>
      </c>
      <c r="G188" s="34">
        <v>468.62792189999999</v>
      </c>
      <c r="H188" s="34">
        <v>562.90754240000001</v>
      </c>
      <c r="I188" s="34">
        <v>634.79188780000004</v>
      </c>
      <c r="J188" s="34">
        <v>676.90176159999999</v>
      </c>
      <c r="K188" s="34">
        <v>714.1599784</v>
      </c>
      <c r="L188" s="34">
        <v>747.16111390000003</v>
      </c>
      <c r="M188" s="34">
        <v>815.21003169999994</v>
      </c>
      <c r="N188" s="34">
        <v>847.90449760000001</v>
      </c>
      <c r="O188" s="34">
        <v>930.23701930000004</v>
      </c>
      <c r="P188" s="34">
        <v>1133.231029</v>
      </c>
      <c r="Q188" s="34">
        <v>1295.8127569999999</v>
      </c>
      <c r="R188" s="34">
        <v>1412.212354</v>
      </c>
      <c r="S188" s="34">
        <v>1793.6580280000001</v>
      </c>
      <c r="T188" s="34">
        <v>2053.8783530000001</v>
      </c>
      <c r="U188" s="34">
        <v>2180.7226900000001</v>
      </c>
      <c r="V188" s="34">
        <v>2211.214054</v>
      </c>
      <c r="W188" s="34">
        <v>2468.457062</v>
      </c>
      <c r="X188" s="34">
        <v>2535.1386849999999</v>
      </c>
      <c r="Y188" s="34">
        <v>2438.7079680000002</v>
      </c>
      <c r="Z188" s="34">
        <v>2368.9275670000002</v>
      </c>
      <c r="AA188" s="34">
        <v>2368.1897589999999</v>
      </c>
      <c r="AB188" s="34">
        <v>2381.506042</v>
      </c>
      <c r="AC188" s="34">
        <v>2571.9557100000002</v>
      </c>
      <c r="AD188" s="34">
        <v>2985.519843</v>
      </c>
      <c r="AE188" s="34">
        <v>1366.4683869999999</v>
      </c>
      <c r="AF188" s="34">
        <v>958.6123321</v>
      </c>
      <c r="AG188" s="34">
        <v>1084.96425</v>
      </c>
      <c r="AH188" s="34">
        <v>961.8264719</v>
      </c>
      <c r="AI188" s="34">
        <v>1001.721163</v>
      </c>
      <c r="AJ188" s="34">
        <v>1391.620154</v>
      </c>
      <c r="AK188" s="34">
        <v>1565.212023</v>
      </c>
      <c r="AL188" s="34">
        <v>1921.9054389999999</v>
      </c>
      <c r="AM188" s="34">
        <v>2039.836843</v>
      </c>
      <c r="AN188" s="34">
        <v>2415.7420659999998</v>
      </c>
      <c r="AO188" s="34">
        <v>1904.4451799999999</v>
      </c>
      <c r="AP188" s="34">
        <v>2012.281651</v>
      </c>
      <c r="AQ188" s="34">
        <v>1750.5767370000001</v>
      </c>
      <c r="AR188" s="34">
        <v>2267.7539839999999</v>
      </c>
      <c r="AS188" s="34">
        <v>2611.377493</v>
      </c>
      <c r="AT188" s="34">
        <v>3006.1832330000002</v>
      </c>
      <c r="AU188" s="34">
        <v>3590.6481829999998</v>
      </c>
      <c r="AV188" s="34">
        <v>5197.7479069999999</v>
      </c>
      <c r="AW188" s="34">
        <v>5744.7597269999997</v>
      </c>
      <c r="AX188" s="34">
        <v>6831.9836219999997</v>
      </c>
      <c r="AY188" s="34">
        <v>7408.3607860000002</v>
      </c>
      <c r="AZ188" s="34">
        <v>8255.8748720000003</v>
      </c>
      <c r="BA188" s="34">
        <v>8263.2038030000003</v>
      </c>
      <c r="BB188" s="34">
        <v>9200.9747860000007</v>
      </c>
      <c r="BC188" s="34">
        <v>9402.1644191113992</v>
      </c>
      <c r="BD188" s="34">
        <v>9471.9220010000008</v>
      </c>
      <c r="BE188" s="34">
        <v>9168.2371569999996</v>
      </c>
      <c r="BF188" s="34">
        <v>5872.7894290000004</v>
      </c>
      <c r="BG188" s="34">
        <v>6295.5605619999997</v>
      </c>
      <c r="BH188" s="34">
        <v>6938.0869810000004</v>
      </c>
      <c r="BI188" s="34">
        <v>6853.6934110000002</v>
      </c>
      <c r="BJ188" s="34">
        <v>4916.6056660000004</v>
      </c>
    </row>
    <row r="189" spans="1:62">
      <c r="A189" s="1" t="s">
        <v>1146</v>
      </c>
      <c r="B189" s="34">
        <v>0</v>
      </c>
      <c r="C189" s="34">
        <v>0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2405.5351599999999</v>
      </c>
      <c r="AG189" s="34">
        <v>2691.1956519999999</v>
      </c>
      <c r="AH189" s="34">
        <v>2920.9175420000001</v>
      </c>
      <c r="AI189" s="34">
        <v>3102.296859</v>
      </c>
      <c r="AJ189" s="34">
        <v>3771.359516</v>
      </c>
      <c r="AK189" s="34">
        <v>4819.1255549999996</v>
      </c>
      <c r="AL189" s="34">
        <v>5196.94038</v>
      </c>
      <c r="AM189" s="34">
        <v>5146.6710780000003</v>
      </c>
      <c r="AN189" s="34">
        <v>5538.6164650000001</v>
      </c>
      <c r="AO189" s="34">
        <v>5643.6751089999998</v>
      </c>
      <c r="AP189" s="34">
        <v>5413.1506209999998</v>
      </c>
      <c r="AQ189" s="34">
        <v>5717.2170900000001</v>
      </c>
      <c r="AR189" s="34">
        <v>6533.5532130000001</v>
      </c>
      <c r="AS189" s="34">
        <v>8712.6987929999996</v>
      </c>
      <c r="AT189" s="34">
        <v>10671.82186</v>
      </c>
      <c r="AU189" s="34">
        <v>11685.75482</v>
      </c>
      <c r="AV189" s="34">
        <v>13159.75944</v>
      </c>
      <c r="AW189" s="34">
        <v>16085.61152</v>
      </c>
      <c r="AX189" s="34">
        <v>18677.292710000002</v>
      </c>
      <c r="AY189" s="34">
        <v>16531.67051</v>
      </c>
      <c r="AZ189" s="34">
        <v>16825.351630000001</v>
      </c>
      <c r="BA189" s="34">
        <v>18406.01196</v>
      </c>
      <c r="BB189" s="34">
        <v>17430.82675</v>
      </c>
      <c r="BC189" s="34">
        <v>18203.2424880484</v>
      </c>
      <c r="BD189" s="34">
        <v>18630.975979999999</v>
      </c>
      <c r="BE189" s="34">
        <v>16335.645399999999</v>
      </c>
      <c r="BF189" s="34">
        <v>16501.083849999999</v>
      </c>
      <c r="BG189" s="34">
        <v>17494.728790000001</v>
      </c>
      <c r="BH189" s="34">
        <v>19380.513510000001</v>
      </c>
      <c r="BI189" s="34">
        <v>19303.54566</v>
      </c>
      <c r="BJ189" s="34">
        <v>19266.513569999999</v>
      </c>
    </row>
    <row r="190" spans="1:62">
      <c r="A190" s="1" t="s">
        <v>1147</v>
      </c>
      <c r="B190" s="34">
        <v>0</v>
      </c>
      <c r="C190" s="34">
        <v>0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10730.451010000001</v>
      </c>
      <c r="AL190" s="34">
        <v>10815.11105</v>
      </c>
      <c r="AM190" s="34">
        <v>10454.96564</v>
      </c>
      <c r="AN190" s="34">
        <v>11175.77103</v>
      </c>
      <c r="AO190" s="34">
        <v>11452.78312</v>
      </c>
      <c r="AP190" s="34">
        <v>10201.303540000001</v>
      </c>
      <c r="AQ190" s="34">
        <v>10479.75963</v>
      </c>
      <c r="AR190" s="34">
        <v>11777.15566</v>
      </c>
      <c r="AS190" s="34">
        <v>14849.03724</v>
      </c>
      <c r="AT190" s="34">
        <v>17233.138559999999</v>
      </c>
      <c r="AU190" s="34">
        <v>18098.90854</v>
      </c>
      <c r="AV190" s="34">
        <v>19672.965560000001</v>
      </c>
      <c r="AW190" s="34">
        <v>23787.646560000001</v>
      </c>
      <c r="AX190" s="34">
        <v>27483.337169999999</v>
      </c>
      <c r="AY190" s="34">
        <v>24694.230490000002</v>
      </c>
      <c r="AZ190" s="34">
        <v>23509.543140000002</v>
      </c>
      <c r="BA190" s="34">
        <v>25095.132290000001</v>
      </c>
      <c r="BB190" s="34">
        <v>22643.10025</v>
      </c>
      <c r="BC190" s="34">
        <v>23496.602499331999</v>
      </c>
      <c r="BD190" s="34">
        <v>24214.922070000001</v>
      </c>
      <c r="BE190" s="34">
        <v>20881.766930000002</v>
      </c>
      <c r="BF190" s="34">
        <v>21663.643410000001</v>
      </c>
      <c r="BG190" s="34">
        <v>23455.944729999999</v>
      </c>
      <c r="BH190" s="34">
        <v>26104.102790000001</v>
      </c>
      <c r="BI190" s="34">
        <v>25942.95477</v>
      </c>
      <c r="BJ190" s="34">
        <v>25517.330669999999</v>
      </c>
    </row>
    <row r="191" spans="1:62">
      <c r="A191" s="1" t="s">
        <v>1154</v>
      </c>
      <c r="B191" s="34">
        <v>2114.0029730000001</v>
      </c>
      <c r="C191" s="34">
        <v>2288.9217010000002</v>
      </c>
      <c r="D191" s="34">
        <v>2468.6945890000002</v>
      </c>
      <c r="E191" s="34">
        <v>2657.0225049999999</v>
      </c>
      <c r="F191" s="34">
        <v>2941.0488989999999</v>
      </c>
      <c r="G191" s="34">
        <v>3206.09917</v>
      </c>
      <c r="H191" s="34">
        <v>3454.4297889999998</v>
      </c>
      <c r="I191" s="34">
        <v>3720.926845</v>
      </c>
      <c r="J191" s="34">
        <v>3926.409001</v>
      </c>
      <c r="K191" s="34">
        <v>4234.1613479999996</v>
      </c>
      <c r="L191" s="34">
        <v>4736.2171539999999</v>
      </c>
      <c r="M191" s="34">
        <v>5132.7116070000002</v>
      </c>
      <c r="N191" s="34">
        <v>6027.1284990000004</v>
      </c>
      <c r="O191" s="34">
        <v>7301.2154259999998</v>
      </c>
      <c r="P191" s="34">
        <v>8089.9145850000004</v>
      </c>
      <c r="Q191" s="34">
        <v>10117.30668</v>
      </c>
      <c r="R191" s="34">
        <v>10868.27577</v>
      </c>
      <c r="S191" s="34">
        <v>11448.61939</v>
      </c>
      <c r="T191" s="34">
        <v>12620.518609999999</v>
      </c>
      <c r="U191" s="34">
        <v>14877.164290000001</v>
      </c>
      <c r="V191" s="34">
        <v>17097.83265</v>
      </c>
      <c r="W191" s="34">
        <v>15586.43008</v>
      </c>
      <c r="X191" s="34">
        <v>13738.972299999999</v>
      </c>
      <c r="Y191" s="34">
        <v>12608.229149999999</v>
      </c>
      <c r="Z191" s="34">
        <v>13099.020829999999</v>
      </c>
      <c r="AA191" s="34">
        <v>13666.857749999999</v>
      </c>
      <c r="AB191" s="34">
        <v>17981.019410000001</v>
      </c>
      <c r="AC191" s="34">
        <v>21792.55891</v>
      </c>
      <c r="AD191" s="34">
        <v>24534.69382</v>
      </c>
      <c r="AE191" s="34">
        <v>25662.220590000001</v>
      </c>
      <c r="AF191" s="34">
        <v>30593.672439999998</v>
      </c>
      <c r="AG191" s="34">
        <v>31822.80385</v>
      </c>
      <c r="AH191" s="34">
        <v>32800.982689999997</v>
      </c>
      <c r="AI191" s="34">
        <v>24425.284930000002</v>
      </c>
      <c r="AJ191" s="34">
        <v>26083.614389999999</v>
      </c>
      <c r="AK191" s="34">
        <v>30282.963919999998</v>
      </c>
      <c r="AL191" s="34">
        <v>32998.968159999997</v>
      </c>
      <c r="AM191" s="34">
        <v>30312.4876</v>
      </c>
      <c r="AN191" s="34">
        <v>30596.5272</v>
      </c>
      <c r="AO191" s="34">
        <v>30941.07936</v>
      </c>
      <c r="AP191" s="34">
        <v>29624.912670000002</v>
      </c>
      <c r="AQ191" s="34">
        <v>27247.85773</v>
      </c>
      <c r="AR191" s="34">
        <v>29899.195250000001</v>
      </c>
      <c r="AS191" s="34">
        <v>37321.797899999998</v>
      </c>
      <c r="AT191" s="34">
        <v>42821.673139999999</v>
      </c>
      <c r="AU191" s="34">
        <v>43437.063119999999</v>
      </c>
      <c r="AV191" s="34">
        <v>46593.602160000002</v>
      </c>
      <c r="AW191" s="34">
        <v>53700.005340000003</v>
      </c>
      <c r="AX191" s="34">
        <v>56152.552340000002</v>
      </c>
      <c r="AY191" s="34">
        <v>46946.960270000003</v>
      </c>
      <c r="AZ191" s="34">
        <v>52869.044289999998</v>
      </c>
      <c r="BA191" s="34">
        <v>60755.759550000002</v>
      </c>
      <c r="BB191" s="34">
        <v>58037.821320000003</v>
      </c>
      <c r="BC191" s="34">
        <v>61126.9431963979</v>
      </c>
      <c r="BD191" s="34">
        <v>60020.360460000004</v>
      </c>
      <c r="BE191" s="34">
        <v>51545.483610000003</v>
      </c>
      <c r="BF191" s="34">
        <v>51965.157149999999</v>
      </c>
      <c r="BG191" s="34">
        <v>53791.508730000001</v>
      </c>
      <c r="BH191" s="34">
        <v>54589.060389999999</v>
      </c>
      <c r="BI191" s="34">
        <v>51939.42974</v>
      </c>
      <c r="BJ191" s="34">
        <v>52274.408790000001</v>
      </c>
    </row>
    <row r="192" spans="1:62">
      <c r="A192" s="1" t="s">
        <v>1201</v>
      </c>
      <c r="B192" s="34">
        <v>104.2140558</v>
      </c>
      <c r="C192" s="34">
        <v>125.31149189999999</v>
      </c>
      <c r="D192" s="34">
        <v>131.16208950000001</v>
      </c>
      <c r="E192" s="34">
        <v>151.50170439999999</v>
      </c>
      <c r="F192" s="34">
        <v>177.96691609999999</v>
      </c>
      <c r="G192" s="34">
        <v>187.94837050000001</v>
      </c>
      <c r="H192" s="34">
        <v>200.24611229999999</v>
      </c>
      <c r="I192" s="34">
        <v>189.3771021</v>
      </c>
      <c r="J192" s="34">
        <v>196.3021737</v>
      </c>
      <c r="K192" s="34">
        <v>251.750832</v>
      </c>
      <c r="L192" s="34">
        <v>260.02897910000002</v>
      </c>
      <c r="M192" s="34">
        <v>307.36887189999999</v>
      </c>
      <c r="N192" s="34">
        <v>321.06943050000001</v>
      </c>
      <c r="O192" s="34">
        <v>471.5690788</v>
      </c>
      <c r="P192" s="34">
        <v>545.25761709999995</v>
      </c>
      <c r="Q192" s="34">
        <v>576.88387279999995</v>
      </c>
      <c r="R192" s="34">
        <v>528.58425380000006</v>
      </c>
      <c r="S192" s="34">
        <v>571.24682829999995</v>
      </c>
      <c r="T192" s="34">
        <v>619.54243250000002</v>
      </c>
      <c r="U192" s="34">
        <v>725.11267280000004</v>
      </c>
      <c r="V192" s="34">
        <v>922.00164940000002</v>
      </c>
      <c r="W192" s="34">
        <v>938.1748182</v>
      </c>
      <c r="X192" s="34">
        <v>853.5499178</v>
      </c>
      <c r="Y192" s="34">
        <v>851.59626839999999</v>
      </c>
      <c r="Z192" s="34">
        <v>732.29622040000004</v>
      </c>
      <c r="AA192" s="34">
        <v>515.07256029999996</v>
      </c>
      <c r="AB192" s="34">
        <v>620.7120357</v>
      </c>
      <c r="AC192" s="34">
        <v>780.26854230000004</v>
      </c>
      <c r="AD192" s="34">
        <v>894.3395802</v>
      </c>
      <c r="AE192" s="34">
        <v>872.78293829999996</v>
      </c>
      <c r="AF192" s="34">
        <v>1355.389001</v>
      </c>
      <c r="AG192" s="34">
        <v>1367.7831960000001</v>
      </c>
      <c r="AH192" s="34">
        <v>1481.861181</v>
      </c>
      <c r="AI192" s="34">
        <v>1528.8924440000001</v>
      </c>
      <c r="AJ192" s="34">
        <v>1563.749507</v>
      </c>
      <c r="AK192" s="34">
        <v>1833.099316</v>
      </c>
      <c r="AL192" s="34">
        <v>1695.134775</v>
      </c>
      <c r="AM192" s="34">
        <v>1781.8885230000001</v>
      </c>
      <c r="AN192" s="34">
        <v>1609.214093</v>
      </c>
      <c r="AO192" s="34">
        <v>1557.0633310000001</v>
      </c>
      <c r="AP192" s="34">
        <v>1728.7104979999999</v>
      </c>
      <c r="AQ192" s="34">
        <v>1521.7690749999999</v>
      </c>
      <c r="AR192" s="34">
        <v>1405.4487059999999</v>
      </c>
      <c r="AS192" s="34">
        <v>2148.6324749999999</v>
      </c>
      <c r="AT192" s="34">
        <v>2699.1307419999998</v>
      </c>
      <c r="AU192" s="34">
        <v>3083.8381410000002</v>
      </c>
      <c r="AV192" s="34">
        <v>3176.6911679999998</v>
      </c>
      <c r="AW192" s="34">
        <v>3327.4451340000001</v>
      </c>
      <c r="AX192" s="34">
        <v>3137.3872660000002</v>
      </c>
      <c r="AY192" s="34">
        <v>3385.8588460000001</v>
      </c>
      <c r="AZ192" s="34">
        <v>4168.4894029999996</v>
      </c>
      <c r="BA192" s="34">
        <v>4496.6133609999997</v>
      </c>
      <c r="BB192" s="34">
        <v>4527.5650390000001</v>
      </c>
      <c r="BC192" s="34">
        <v>4230.1712664152101</v>
      </c>
      <c r="BD192" s="34">
        <v>4039.159341</v>
      </c>
      <c r="BE192" s="34">
        <v>3680.3494730000002</v>
      </c>
      <c r="BF192" s="34">
        <v>3425.5319570000001</v>
      </c>
      <c r="BG192" s="34">
        <v>3914.4184839999998</v>
      </c>
      <c r="BH192" s="34">
        <v>4105.8936830000002</v>
      </c>
      <c r="BI192" s="34">
        <v>3915.6434669999999</v>
      </c>
      <c r="BJ192" s="34">
        <v>3424.2822120000001</v>
      </c>
    </row>
    <row r="193" spans="1:65">
      <c r="A193" s="1" t="s">
        <v>1202</v>
      </c>
      <c r="B193" s="34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27997.289830000002</v>
      </c>
      <c r="BB193" s="34">
        <v>28460.332620000001</v>
      </c>
      <c r="BC193" s="34">
        <v>27942.880540141501</v>
      </c>
      <c r="BD193" s="34">
        <v>33043.68838</v>
      </c>
      <c r="BE193" s="34">
        <v>32274.89055</v>
      </c>
      <c r="BF193" s="34">
        <v>31616.681700000001</v>
      </c>
      <c r="BG193" s="34">
        <v>29369.056830000001</v>
      </c>
      <c r="BH193" s="34">
        <v>29160.103810000001</v>
      </c>
      <c r="BI193" s="34">
        <v>0</v>
      </c>
      <c r="BJ193" s="34">
        <v>0</v>
      </c>
    </row>
    <row r="194" spans="1:65">
      <c r="A194" s="1" t="s">
        <v>1144</v>
      </c>
      <c r="B194" s="34">
        <v>288.05784199999999</v>
      </c>
      <c r="C194" s="34">
        <v>270.2793628</v>
      </c>
      <c r="D194" s="34">
        <v>287.04478840000002</v>
      </c>
      <c r="E194" s="34">
        <v>308.19526439999999</v>
      </c>
      <c r="F194" s="34">
        <v>332.30500310000002</v>
      </c>
      <c r="G194" s="34">
        <v>328.48490099999998</v>
      </c>
      <c r="H194" s="34">
        <v>337.64624659999998</v>
      </c>
      <c r="I194" s="34">
        <v>333.2338125</v>
      </c>
      <c r="J194" s="34">
        <v>314.35106480000002</v>
      </c>
      <c r="K194" s="34">
        <v>314.17985279999999</v>
      </c>
      <c r="L194" s="34">
        <v>343.88118209999999</v>
      </c>
      <c r="M194" s="34">
        <v>401.60803950000002</v>
      </c>
      <c r="N194" s="34">
        <v>546.95106129999999</v>
      </c>
      <c r="O194" s="34">
        <v>648.53192409999997</v>
      </c>
      <c r="P194" s="34">
        <v>744.50694190000002</v>
      </c>
      <c r="Q194" s="34">
        <v>806.23264449999999</v>
      </c>
      <c r="R194" s="34">
        <v>814.474738</v>
      </c>
      <c r="S194" s="34">
        <v>1044.3530679999999</v>
      </c>
      <c r="T194" s="34">
        <v>1376.5465790000001</v>
      </c>
      <c r="U194" s="34">
        <v>2030.1359030000001</v>
      </c>
      <c r="V194" s="34">
        <v>2329.3533579999998</v>
      </c>
      <c r="W194" s="34">
        <v>2419.0344190000001</v>
      </c>
      <c r="X194" s="34">
        <v>2296.3077290000001</v>
      </c>
      <c r="Y194" s="34">
        <v>2280.4515510000001</v>
      </c>
      <c r="Z194" s="34">
        <v>2338.075652</v>
      </c>
      <c r="AA194" s="34">
        <v>2588.5528039999999</v>
      </c>
      <c r="AB194" s="34">
        <v>3165.9450379999998</v>
      </c>
      <c r="AC194" s="34">
        <v>3638.9880109999999</v>
      </c>
      <c r="AD194" s="34">
        <v>4128.1182319999998</v>
      </c>
      <c r="AE194" s="34">
        <v>4407.2009399999997</v>
      </c>
      <c r="AF194" s="34">
        <v>5302.8437270000004</v>
      </c>
      <c r="AG194" s="34">
        <v>5314.6631280000001</v>
      </c>
      <c r="AH194" s="34">
        <v>6128.4455690000004</v>
      </c>
      <c r="AI194" s="34">
        <v>6559.1299939999999</v>
      </c>
      <c r="AJ194" s="34">
        <v>6555.5044070000004</v>
      </c>
      <c r="AK194" s="34">
        <v>6748.9311090000001</v>
      </c>
      <c r="AL194" s="34">
        <v>6583.2010179999997</v>
      </c>
      <c r="AM194" s="34">
        <v>7280.9896209999997</v>
      </c>
      <c r="AN194" s="34">
        <v>7715.9181470000003</v>
      </c>
      <c r="AO194" s="34">
        <v>7747.6121590000002</v>
      </c>
      <c r="AP194" s="34">
        <v>7578.8510530000003</v>
      </c>
      <c r="AQ194" s="34">
        <v>7663.1370800000004</v>
      </c>
      <c r="AR194" s="34">
        <v>8331.2619969999996</v>
      </c>
      <c r="AS194" s="34">
        <v>8524.9612359999992</v>
      </c>
      <c r="AT194" s="34">
        <v>10176.65871</v>
      </c>
      <c r="AU194" s="34">
        <v>11092.51074</v>
      </c>
      <c r="AV194" s="34">
        <v>12014.399869999999</v>
      </c>
      <c r="AW194" s="34">
        <v>12154.82994</v>
      </c>
      <c r="AX194" s="34">
        <v>11122.862069999999</v>
      </c>
      <c r="AY194" s="34">
        <v>9706.9560600000004</v>
      </c>
      <c r="AZ194" s="34">
        <v>10804.68447</v>
      </c>
      <c r="BA194" s="34">
        <v>12189.095160000001</v>
      </c>
      <c r="BB194" s="34">
        <v>12006.68296</v>
      </c>
      <c r="BC194" s="34">
        <v>14765.6739800428</v>
      </c>
      <c r="BD194" s="34">
        <v>14700.334339999999</v>
      </c>
      <c r="BE194" s="34">
        <v>14745.34146</v>
      </c>
      <c r="BF194" s="34">
        <v>15068.620349999999</v>
      </c>
      <c r="BG194" s="34">
        <v>15945.264929999999</v>
      </c>
      <c r="BH194" s="34">
        <v>15994.81986</v>
      </c>
      <c r="BI194" s="34">
        <v>16213.48076</v>
      </c>
      <c r="BJ194" s="34">
        <v>10764.42042</v>
      </c>
    </row>
    <row r="195" spans="1:65">
      <c r="A195" s="1" t="s">
        <v>1203</v>
      </c>
      <c r="B195" s="34">
        <v>187.5372883</v>
      </c>
      <c r="C195" s="34">
        <v>200.18347979999999</v>
      </c>
      <c r="D195" s="34">
        <v>227.78834040000001</v>
      </c>
      <c r="E195" s="34">
        <v>238.43763340000001</v>
      </c>
      <c r="F195" s="34">
        <v>257.57816020000001</v>
      </c>
      <c r="G195" s="34">
        <v>247.49833000000001</v>
      </c>
      <c r="H195" s="34">
        <v>237.915674</v>
      </c>
      <c r="I195" s="34">
        <v>251.48802380000001</v>
      </c>
      <c r="J195" s="34">
        <v>263.19792940000002</v>
      </c>
      <c r="K195" s="34">
        <v>292.65044920000003</v>
      </c>
      <c r="L195" s="34">
        <v>280.30743699999999</v>
      </c>
      <c r="M195" s="34">
        <v>319.23436179999999</v>
      </c>
      <c r="N195" s="34">
        <v>355.24326919999999</v>
      </c>
      <c r="O195" s="34">
        <v>366.47777170000001</v>
      </c>
      <c r="P195" s="34">
        <v>582.80443119999995</v>
      </c>
      <c r="Q195" s="34">
        <v>738.71646639999994</v>
      </c>
      <c r="R195" s="34">
        <v>823.33731680000005</v>
      </c>
      <c r="S195" s="34">
        <v>853.81343760000004</v>
      </c>
      <c r="T195" s="34">
        <v>989.87017600000001</v>
      </c>
      <c r="U195" s="34">
        <v>1151.174929</v>
      </c>
      <c r="V195" s="34">
        <v>1462.629942</v>
      </c>
      <c r="W195" s="34">
        <v>1811.1678119999999</v>
      </c>
      <c r="X195" s="34">
        <v>1827.4444309999999</v>
      </c>
      <c r="Y195" s="34">
        <v>1878.7749570000001</v>
      </c>
      <c r="Z195" s="34">
        <v>1864.8911390000001</v>
      </c>
      <c r="AA195" s="34">
        <v>1991.224757</v>
      </c>
      <c r="AB195" s="34">
        <v>2313.7045889999999</v>
      </c>
      <c r="AC195" s="34">
        <v>2864.0546169999998</v>
      </c>
      <c r="AD195" s="34">
        <v>1414.3060390000001</v>
      </c>
      <c r="AE195" s="34">
        <v>1540.468214</v>
      </c>
      <c r="AF195" s="34">
        <v>1920.6312250000001</v>
      </c>
      <c r="AG195" s="34">
        <v>2165.851893</v>
      </c>
      <c r="AH195" s="34">
        <v>2510.4777549999999</v>
      </c>
      <c r="AI195" s="34">
        <v>2717.2821640000002</v>
      </c>
      <c r="AJ195" s="34">
        <v>3231.926743</v>
      </c>
      <c r="AK195" s="34">
        <v>3545.8089030000001</v>
      </c>
      <c r="AL195" s="34">
        <v>4171.4560970000002</v>
      </c>
      <c r="AM195" s="34">
        <v>4376.8733320000001</v>
      </c>
      <c r="AN195" s="34">
        <v>4514.1047129999997</v>
      </c>
      <c r="AO195" s="34">
        <v>4556.6610799999999</v>
      </c>
      <c r="AP195" s="34">
        <v>4910.7777480000004</v>
      </c>
      <c r="AQ195" s="34">
        <v>5175.2619439999999</v>
      </c>
      <c r="AR195" s="34">
        <v>5300.5828119999996</v>
      </c>
      <c r="AS195" s="34">
        <v>5494.8396540000003</v>
      </c>
      <c r="AT195" s="34">
        <v>6330.7401829999999</v>
      </c>
      <c r="AU195" s="34">
        <v>7309.107876</v>
      </c>
      <c r="AV195" s="34">
        <v>8069.5648789999996</v>
      </c>
      <c r="AW195" s="34">
        <v>9056.6346620000004</v>
      </c>
      <c r="AX195" s="34">
        <v>10554.083780000001</v>
      </c>
      <c r="AY195" s="34">
        <v>10589.599050000001</v>
      </c>
      <c r="AZ195" s="34">
        <v>11820.60778</v>
      </c>
      <c r="BA195" s="34">
        <v>3050.754453</v>
      </c>
      <c r="BB195" s="34">
        <v>2094.408097</v>
      </c>
      <c r="BC195" s="34">
        <v>1039.17530979407</v>
      </c>
      <c r="BD195" s="34">
        <v>1135.1252440000001</v>
      </c>
      <c r="BE195" s="34">
        <v>916.35803309999994</v>
      </c>
      <c r="BF195" s="34">
        <v>707.50526669999999</v>
      </c>
      <c r="BG195" s="34">
        <v>942.51891590000002</v>
      </c>
      <c r="BH195" s="34">
        <v>1268.2358489999999</v>
      </c>
      <c r="BI195" s="34">
        <v>1334.3705930000001</v>
      </c>
      <c r="BJ195" s="34">
        <v>0</v>
      </c>
    </row>
    <row r="196" spans="1:65">
      <c r="A196" s="1" t="s">
        <v>1204</v>
      </c>
      <c r="B196" s="34">
        <v>0</v>
      </c>
      <c r="C196" s="34">
        <v>0</v>
      </c>
      <c r="D196" s="34">
        <v>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16625.48892</v>
      </c>
      <c r="AR196" s="34">
        <v>15785.96255</v>
      </c>
      <c r="AS196" s="34">
        <v>16384.902429999998</v>
      </c>
      <c r="AT196" s="34">
        <v>18181.09289</v>
      </c>
      <c r="AU196" s="34">
        <v>20533.187610000001</v>
      </c>
      <c r="AV196" s="34">
        <v>24559.143700000001</v>
      </c>
      <c r="AW196" s="34">
        <v>25457.97782</v>
      </c>
      <c r="AX196" s="34">
        <v>27650.11635</v>
      </c>
      <c r="AY196" s="34">
        <v>22020.347290000002</v>
      </c>
      <c r="AZ196" s="34">
        <v>21029.695940000001</v>
      </c>
      <c r="BA196" s="34">
        <v>21839.009020000001</v>
      </c>
      <c r="BB196" s="34">
        <v>21345.025979999999</v>
      </c>
      <c r="BC196" s="34">
        <v>21715.3139665448</v>
      </c>
      <c r="BD196" s="34">
        <v>23778.519130000001</v>
      </c>
      <c r="BE196" s="34">
        <v>26183.885040000001</v>
      </c>
      <c r="BF196" s="34">
        <v>28241.479289999999</v>
      </c>
      <c r="BG196" s="34">
        <v>27545.128789999999</v>
      </c>
      <c r="BH196" s="34">
        <v>29553.136699999999</v>
      </c>
      <c r="BI196" s="34">
        <v>31350.86663</v>
      </c>
      <c r="BJ196" s="34">
        <v>23879.926650000001</v>
      </c>
    </row>
    <row r="197" spans="1:65">
      <c r="A197" s="1" t="s">
        <v>1024</v>
      </c>
      <c r="B197" s="34">
        <v>104.4717189</v>
      </c>
      <c r="C197" s="34">
        <v>109.1292505</v>
      </c>
      <c r="D197" s="34">
        <v>114.58180659999999</v>
      </c>
      <c r="E197" s="34">
        <v>116.77654389999999</v>
      </c>
      <c r="F197" s="34">
        <v>120.82065470000001</v>
      </c>
      <c r="G197" s="34">
        <v>125.9754788</v>
      </c>
      <c r="H197" s="34">
        <v>128.34269399999999</v>
      </c>
      <c r="I197" s="34">
        <v>130.9607828</v>
      </c>
      <c r="J197" s="34">
        <v>129.73195079999999</v>
      </c>
      <c r="K197" s="34">
        <v>132.16998000000001</v>
      </c>
      <c r="L197" s="34">
        <v>128.7917736</v>
      </c>
      <c r="M197" s="34">
        <v>134.68633249999999</v>
      </c>
      <c r="N197" s="34">
        <v>153.44396449999999</v>
      </c>
      <c r="O197" s="34">
        <v>165.613494</v>
      </c>
      <c r="P197" s="34">
        <v>163.1365433</v>
      </c>
      <c r="Q197" s="34">
        <v>211.468197</v>
      </c>
      <c r="R197" s="34">
        <v>207.52882210000001</v>
      </c>
      <c r="S197" s="34">
        <v>219.81369480000001</v>
      </c>
      <c r="T197" s="34">
        <v>256.82387130000001</v>
      </c>
      <c r="U197" s="34">
        <v>227.08000329999999</v>
      </c>
      <c r="V197" s="34">
        <v>228.82248440000001</v>
      </c>
      <c r="W197" s="34">
        <v>190.10720900000001</v>
      </c>
      <c r="X197" s="34">
        <v>176.84232639999999</v>
      </c>
      <c r="Y197" s="34">
        <v>172.2602177</v>
      </c>
      <c r="Z197" s="34">
        <v>185.3943371</v>
      </c>
      <c r="AA197" s="34">
        <v>202.7455568</v>
      </c>
      <c r="AB197" s="34">
        <v>203.5012509</v>
      </c>
      <c r="AC197" s="34">
        <v>214.93818229999999</v>
      </c>
      <c r="AD197" s="34">
        <v>265.24097130000001</v>
      </c>
      <c r="AE197" s="34">
        <v>248.3033757</v>
      </c>
      <c r="AF197" s="34">
        <v>291.55335730000002</v>
      </c>
      <c r="AG197" s="34">
        <v>304.87447250000002</v>
      </c>
      <c r="AH197" s="34">
        <v>296.03969660000001</v>
      </c>
      <c r="AI197" s="34">
        <v>222.92318320000001</v>
      </c>
      <c r="AJ197" s="34">
        <v>173.99027240000001</v>
      </c>
      <c r="AK197" s="34">
        <v>206.26065259999999</v>
      </c>
      <c r="AL197" s="34">
        <v>221.67304010000001</v>
      </c>
      <c r="AM197" s="34">
        <v>205.86269580000001</v>
      </c>
      <c r="AN197" s="34">
        <v>224.55373950000001</v>
      </c>
      <c r="AO197" s="34">
        <v>190.55907189999999</v>
      </c>
      <c r="AP197" s="34">
        <v>166.17570889999999</v>
      </c>
      <c r="AQ197" s="34">
        <v>197.1460821</v>
      </c>
      <c r="AR197" s="34">
        <v>221.41653690000001</v>
      </c>
      <c r="AS197" s="34">
        <v>292.60088020000001</v>
      </c>
      <c r="AT197" s="34">
        <v>454.33636519999999</v>
      </c>
      <c r="AU197" s="34">
        <v>658.56697299999996</v>
      </c>
      <c r="AV197" s="34">
        <v>710.39639869999996</v>
      </c>
      <c r="AW197" s="34">
        <v>799.60374200000001</v>
      </c>
      <c r="AX197" s="34">
        <v>929.38275190000002</v>
      </c>
      <c r="AY197" s="34">
        <v>803.68638840000006</v>
      </c>
      <c r="AZ197" s="34">
        <v>892.56886970000005</v>
      </c>
      <c r="BA197" s="34">
        <v>984.73613049999994</v>
      </c>
      <c r="BB197" s="34">
        <v>967.35294880000004</v>
      </c>
      <c r="BC197" s="34">
        <v>979.81174261675903</v>
      </c>
      <c r="BD197" s="34">
        <v>1020.287979</v>
      </c>
      <c r="BE197" s="34">
        <v>776.01975230000005</v>
      </c>
      <c r="BF197" s="34">
        <v>693.44976740000004</v>
      </c>
      <c r="BG197" s="34">
        <v>665.94888490000005</v>
      </c>
      <c r="BH197" s="34">
        <v>726.15100710000002</v>
      </c>
      <c r="BI197" s="34">
        <v>709.54004320000001</v>
      </c>
      <c r="BJ197" s="34">
        <v>659.27004499999998</v>
      </c>
      <c r="BM197" s="26"/>
    </row>
    <row r="198" spans="1:65">
      <c r="A198" s="1" t="s">
        <v>1104</v>
      </c>
      <c r="B198" s="34">
        <v>76.638696620000005</v>
      </c>
      <c r="C198" s="34">
        <v>79.120281649999995</v>
      </c>
      <c r="D198" s="34">
        <v>81.994444079999994</v>
      </c>
      <c r="E198" s="34">
        <v>87.792297950000005</v>
      </c>
      <c r="F198" s="34">
        <v>99.937889389999995</v>
      </c>
      <c r="G198" s="34">
        <v>109.62012060000001</v>
      </c>
      <c r="H198" s="34">
        <v>121.83417540000001</v>
      </c>
      <c r="I198" s="34">
        <v>124.8788571</v>
      </c>
      <c r="J198" s="34">
        <v>124.34976399999999</v>
      </c>
      <c r="K198" s="34">
        <v>131.5701918</v>
      </c>
      <c r="L198" s="34">
        <v>120.0538809</v>
      </c>
      <c r="M198" s="34">
        <v>131.0984359</v>
      </c>
      <c r="N198" s="34">
        <v>149.35082869999999</v>
      </c>
      <c r="O198" s="34">
        <v>176.4738164</v>
      </c>
      <c r="P198" s="34">
        <v>237.81421810000001</v>
      </c>
      <c r="Q198" s="34">
        <v>256.10214409999998</v>
      </c>
      <c r="R198" s="34">
        <v>251.32653070000001</v>
      </c>
      <c r="S198" s="34">
        <v>308.6953426</v>
      </c>
      <c r="T198" s="34">
        <v>319.94180849999998</v>
      </c>
      <c r="U198" s="34">
        <v>337.44967980000001</v>
      </c>
      <c r="V198" s="34">
        <v>417.6691399</v>
      </c>
      <c r="W198" s="34">
        <v>342.19069610000003</v>
      </c>
      <c r="X198" s="34">
        <v>281.81055220000002</v>
      </c>
      <c r="Y198" s="34">
        <v>252.97378599999999</v>
      </c>
      <c r="Z198" s="34">
        <v>228.6486926</v>
      </c>
      <c r="AA198" s="34">
        <v>234.35611</v>
      </c>
      <c r="AB198" s="34">
        <v>315.46212209999999</v>
      </c>
      <c r="AC198" s="34">
        <v>359.79072439999999</v>
      </c>
      <c r="AD198" s="34">
        <v>385.42541879999999</v>
      </c>
      <c r="AE198" s="34">
        <v>367.7925841</v>
      </c>
      <c r="AF198" s="34">
        <v>431.45038840000001</v>
      </c>
      <c r="AG198" s="34">
        <v>414.78143740000002</v>
      </c>
      <c r="AH198" s="34">
        <v>429.04236100000003</v>
      </c>
      <c r="AI198" s="34">
        <v>306.15124739999999</v>
      </c>
      <c r="AJ198" s="34">
        <v>238.4654535</v>
      </c>
      <c r="AK198" s="34">
        <v>309.8182936</v>
      </c>
      <c r="AL198" s="34">
        <v>336.9770039</v>
      </c>
      <c r="AM198" s="34">
        <v>334.14384239999998</v>
      </c>
      <c r="AN198" s="34">
        <v>342.65790420000002</v>
      </c>
      <c r="AO198" s="34">
        <v>329.81646970000003</v>
      </c>
      <c r="AP198" s="34">
        <v>302.95859200000001</v>
      </c>
      <c r="AQ198" s="34">
        <v>292.8231035</v>
      </c>
      <c r="AR198" s="34">
        <v>328.39810729999999</v>
      </c>
      <c r="AS198" s="34">
        <v>396.92057979999998</v>
      </c>
      <c r="AT198" s="34">
        <v>413.32986620000003</v>
      </c>
      <c r="AU198" s="34">
        <v>406.562366</v>
      </c>
      <c r="AV198" s="34">
        <v>408.05711730000002</v>
      </c>
      <c r="AW198" s="34">
        <v>449.73825049999999</v>
      </c>
      <c r="AX198" s="34">
        <v>546.35037020000004</v>
      </c>
      <c r="AY198" s="34">
        <v>540.60871259999999</v>
      </c>
      <c r="AZ198" s="34">
        <v>534.04478259999996</v>
      </c>
      <c r="BA198" s="34">
        <v>587.09749280000005</v>
      </c>
      <c r="BB198" s="34">
        <v>571.80672389999995</v>
      </c>
      <c r="BC198" s="34">
        <v>621.39885357468302</v>
      </c>
      <c r="BD198" s="34">
        <v>640.93421960000001</v>
      </c>
      <c r="BE198" s="34">
        <v>570.90996719999998</v>
      </c>
      <c r="BF198" s="34">
        <v>803.15189339999995</v>
      </c>
      <c r="BG198" s="34">
        <v>830.74527669999998</v>
      </c>
      <c r="BH198" s="34">
        <v>901.52301690000002</v>
      </c>
      <c r="BI198" s="34">
        <v>893.35245410000005</v>
      </c>
      <c r="BJ198" s="34">
        <v>914.95079250000003</v>
      </c>
    </row>
    <row r="199" spans="1:65">
      <c r="A199" s="1" t="s">
        <v>252</v>
      </c>
      <c r="B199" s="34">
        <v>100.767475</v>
      </c>
      <c r="C199" s="34">
        <v>107.498001</v>
      </c>
      <c r="D199" s="34">
        <v>113.78284979999999</v>
      </c>
      <c r="E199" s="34">
        <v>118.143907</v>
      </c>
      <c r="F199" s="34">
        <v>125.9386942</v>
      </c>
      <c r="G199" s="34">
        <v>137.91864670000001</v>
      </c>
      <c r="H199" s="34">
        <v>161.00552160000001</v>
      </c>
      <c r="I199" s="34">
        <v>166.92306339999999</v>
      </c>
      <c r="J199" s="34">
        <v>174.7847538</v>
      </c>
      <c r="K199" s="34">
        <v>186.87916749999999</v>
      </c>
      <c r="L199" s="34">
        <v>192.12768600000001</v>
      </c>
      <c r="M199" s="34">
        <v>194.266671</v>
      </c>
      <c r="N199" s="34">
        <v>209.3747807</v>
      </c>
      <c r="O199" s="34">
        <v>269.88795920000001</v>
      </c>
      <c r="P199" s="34">
        <v>332.17526989999999</v>
      </c>
      <c r="Q199" s="34">
        <v>351.61933579999999</v>
      </c>
      <c r="R199" s="34">
        <v>391.56938980000001</v>
      </c>
      <c r="S199" s="34">
        <v>445.42085250000002</v>
      </c>
      <c r="T199" s="34">
        <v>528.62675509999997</v>
      </c>
      <c r="U199" s="34">
        <v>589.88505999999995</v>
      </c>
      <c r="V199" s="34">
        <v>682.92997279999997</v>
      </c>
      <c r="W199" s="34">
        <v>721.05934479999996</v>
      </c>
      <c r="X199" s="34">
        <v>742.8512326</v>
      </c>
      <c r="Y199" s="34">
        <v>798.08044989999996</v>
      </c>
      <c r="Z199" s="34">
        <v>818.03893349999998</v>
      </c>
      <c r="AA199" s="34">
        <v>747.70343730000002</v>
      </c>
      <c r="AB199" s="34">
        <v>813.45150450000006</v>
      </c>
      <c r="AC199" s="34">
        <v>936.78045829999996</v>
      </c>
      <c r="AD199" s="34">
        <v>1123.437643</v>
      </c>
      <c r="AE199" s="34">
        <v>1295.4647219999999</v>
      </c>
      <c r="AF199" s="34">
        <v>1508.94247</v>
      </c>
      <c r="AG199" s="34">
        <v>1716.41542</v>
      </c>
      <c r="AH199" s="34">
        <v>1927.882603</v>
      </c>
      <c r="AI199" s="34">
        <v>2209.36303</v>
      </c>
      <c r="AJ199" s="34">
        <v>2491.4278359999998</v>
      </c>
      <c r="AK199" s="34">
        <v>2846.5868340000002</v>
      </c>
      <c r="AL199" s="34">
        <v>3043.9803139999999</v>
      </c>
      <c r="AM199" s="34">
        <v>2468.1847299999999</v>
      </c>
      <c r="AN199" s="34">
        <v>1845.8288700000001</v>
      </c>
      <c r="AO199" s="34">
        <v>2033.2580089999999</v>
      </c>
      <c r="AP199" s="34">
        <v>2007.735271</v>
      </c>
      <c r="AQ199" s="34">
        <v>1893.2642390000001</v>
      </c>
      <c r="AR199" s="34">
        <v>2096.1878019999999</v>
      </c>
      <c r="AS199" s="34">
        <v>2359.1168309999998</v>
      </c>
      <c r="AT199" s="34">
        <v>2660.126835</v>
      </c>
      <c r="AU199" s="34">
        <v>2894.0626560000001</v>
      </c>
      <c r="AV199" s="34">
        <v>3369.5431979999998</v>
      </c>
      <c r="AW199" s="34">
        <v>3973.0171719999998</v>
      </c>
      <c r="AX199" s="34">
        <v>4379.6587870000003</v>
      </c>
      <c r="AY199" s="34">
        <v>4213.0066539999998</v>
      </c>
      <c r="AZ199" s="34">
        <v>5076.3398719999996</v>
      </c>
      <c r="BA199" s="34">
        <v>5492.1215000000002</v>
      </c>
      <c r="BB199" s="34">
        <v>5860.5814710000004</v>
      </c>
      <c r="BC199" s="34">
        <v>6168.2613556994402</v>
      </c>
      <c r="BD199" s="34">
        <v>5951.8834870000001</v>
      </c>
      <c r="BE199" s="34">
        <v>5840.0530669999998</v>
      </c>
      <c r="BF199" s="34">
        <v>5993.3055160000004</v>
      </c>
      <c r="BG199" s="34">
        <v>6593.8183520000002</v>
      </c>
      <c r="BH199" s="34">
        <v>7296.8796080000002</v>
      </c>
      <c r="BI199" s="34">
        <v>7817.0096709999998</v>
      </c>
      <c r="BJ199" s="34">
        <v>7186.874092</v>
      </c>
    </row>
    <row r="200" spans="1:65">
      <c r="A200" s="1" t="s">
        <v>1100</v>
      </c>
      <c r="B200" s="34">
        <v>0</v>
      </c>
      <c r="C200" s="34">
        <v>0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497.63245740000002</v>
      </c>
      <c r="AG200" s="34">
        <v>250.3408858</v>
      </c>
      <c r="AH200" s="34">
        <v>391.94376849999998</v>
      </c>
      <c r="AI200" s="34">
        <v>293.98040220000001</v>
      </c>
      <c r="AJ200" s="34">
        <v>267.43296290000001</v>
      </c>
      <c r="AK200" s="34">
        <v>213.5441443</v>
      </c>
      <c r="AL200" s="34">
        <v>178.36125150000001</v>
      </c>
      <c r="AM200" s="34">
        <v>155.18851770000001</v>
      </c>
      <c r="AN200" s="34">
        <v>219.04024559999999</v>
      </c>
      <c r="AO200" s="34">
        <v>177.55962869999999</v>
      </c>
      <c r="AP200" s="34">
        <v>138.42914669999999</v>
      </c>
      <c r="AQ200" s="34">
        <v>171.0480646</v>
      </c>
      <c r="AR200" s="34">
        <v>190.0026776</v>
      </c>
      <c r="AS200" s="34">
        <v>237.7573352</v>
      </c>
      <c r="AT200" s="34">
        <v>311.62723130000001</v>
      </c>
      <c r="AU200" s="34">
        <v>340.58318320000001</v>
      </c>
      <c r="AV200" s="34">
        <v>408.8384135</v>
      </c>
      <c r="AW200" s="34">
        <v>526.64328829999999</v>
      </c>
      <c r="AX200" s="34">
        <v>715.86570630000006</v>
      </c>
      <c r="AY200" s="34">
        <v>676.12351109999997</v>
      </c>
      <c r="AZ200" s="34">
        <v>749.55241230000001</v>
      </c>
      <c r="BA200" s="34">
        <v>847.38243209999996</v>
      </c>
      <c r="BB200" s="34">
        <v>969.29610390000005</v>
      </c>
      <c r="BC200" s="34">
        <v>1048.2256018262401</v>
      </c>
      <c r="BD200" s="34">
        <v>1104.172358</v>
      </c>
      <c r="BE200" s="34">
        <v>978.40498119999995</v>
      </c>
      <c r="BF200" s="34">
        <v>807.10258610000005</v>
      </c>
      <c r="BG200" s="34">
        <v>848.67237990000001</v>
      </c>
      <c r="BH200" s="34">
        <v>853.21887340000001</v>
      </c>
      <c r="BI200" s="34">
        <v>890.54440239999997</v>
      </c>
      <c r="BJ200" s="34">
        <v>859.13796109999998</v>
      </c>
    </row>
    <row r="201" spans="1:65">
      <c r="A201" s="1" t="s">
        <v>1108</v>
      </c>
      <c r="B201" s="34">
        <v>0</v>
      </c>
      <c r="C201" s="34">
        <v>0</v>
      </c>
      <c r="D201" s="34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684.22269170000004</v>
      </c>
      <c r="AD201" s="34">
        <v>861.78462709999997</v>
      </c>
      <c r="AE201" s="34">
        <v>838.56657719999998</v>
      </c>
      <c r="AF201" s="34">
        <v>865.78683190000004</v>
      </c>
      <c r="AG201" s="34">
        <v>0</v>
      </c>
      <c r="AH201" s="34">
        <v>410.27292640000002</v>
      </c>
      <c r="AI201" s="34">
        <v>832.75385470000003</v>
      </c>
      <c r="AJ201" s="34">
        <v>623.24190569999996</v>
      </c>
      <c r="AK201" s="34">
        <v>590.28122110000004</v>
      </c>
      <c r="AL201" s="34">
        <v>554.83391570000003</v>
      </c>
      <c r="AM201" s="34">
        <v>562.64170260000003</v>
      </c>
      <c r="AN201" s="34">
        <v>590.38713150000001</v>
      </c>
      <c r="AO201" s="34">
        <v>548.68791329999999</v>
      </c>
      <c r="AP201" s="34">
        <v>643.19097539999996</v>
      </c>
      <c r="AQ201" s="34">
        <v>774.48215200000004</v>
      </c>
      <c r="AR201" s="34">
        <v>967.88743529999999</v>
      </c>
      <c r="AS201" s="34">
        <v>1283.908782</v>
      </c>
      <c r="AT201" s="34">
        <v>1453.917784</v>
      </c>
      <c r="AU201" s="34">
        <v>1704.4153799999999</v>
      </c>
      <c r="AV201" s="34">
        <v>2136.4721009999998</v>
      </c>
      <c r="AW201" s="34">
        <v>2600.3687580000001</v>
      </c>
      <c r="AX201" s="34">
        <v>3904.4653010000002</v>
      </c>
      <c r="AY201" s="34">
        <v>4036.4568049999998</v>
      </c>
      <c r="AZ201" s="34">
        <v>4439.2021279999999</v>
      </c>
      <c r="BA201" s="34">
        <v>5649.9621059999999</v>
      </c>
      <c r="BB201" s="34">
        <v>6675.1780550000003</v>
      </c>
      <c r="BC201" s="34">
        <v>7304.28577118881</v>
      </c>
      <c r="BD201" s="34">
        <v>7962.244925</v>
      </c>
      <c r="BE201" s="34">
        <v>6432.6853250000004</v>
      </c>
      <c r="BF201" s="34">
        <v>6387.6825749999998</v>
      </c>
      <c r="BG201" s="34">
        <v>6587.0926040000004</v>
      </c>
      <c r="BH201" s="34">
        <v>6967.375043</v>
      </c>
      <c r="BI201" s="34">
        <v>7612.0351799999999</v>
      </c>
      <c r="BJ201" s="34">
        <v>0</v>
      </c>
    </row>
    <row r="202" spans="1:65">
      <c r="A202" s="1" t="s">
        <v>1156</v>
      </c>
      <c r="B202" s="34">
        <v>0</v>
      </c>
      <c r="C202" s="34">
        <v>0</v>
      </c>
      <c r="D202" s="34">
        <v>0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>
        <v>415.08594859999999</v>
      </c>
      <c r="AQ202" s="34">
        <v>529.77816589999998</v>
      </c>
      <c r="AR202" s="34">
        <v>508.8405861</v>
      </c>
      <c r="AS202" s="34">
        <v>517.82696840000006</v>
      </c>
      <c r="AT202" s="34">
        <v>453.51331269999997</v>
      </c>
      <c r="AU202" s="34">
        <v>464.54593870000002</v>
      </c>
      <c r="AV202" s="34">
        <v>446.46652970000002</v>
      </c>
      <c r="AW202" s="34">
        <v>523.73763489999999</v>
      </c>
      <c r="AX202" s="34">
        <v>614.43575499999997</v>
      </c>
      <c r="AY202" s="34">
        <v>676.61907540000004</v>
      </c>
      <c r="AZ202" s="34">
        <v>806.41434930000003</v>
      </c>
      <c r="BA202" s="34">
        <v>936.44859559999998</v>
      </c>
      <c r="BB202" s="34">
        <v>1024.1725080000001</v>
      </c>
      <c r="BC202" s="34">
        <v>1210.0356545806401</v>
      </c>
      <c r="BD202" s="34">
        <v>1232.4503360000001</v>
      </c>
      <c r="BE202" s="34">
        <v>1332.7918560000001</v>
      </c>
      <c r="BF202" s="34">
        <v>1353.754934</v>
      </c>
      <c r="BG202" s="34">
        <v>1299.494635</v>
      </c>
      <c r="BH202" s="34">
        <v>1249.1383510000001</v>
      </c>
      <c r="BI202" s="34">
        <v>1583.7135760000001</v>
      </c>
      <c r="BJ202" s="34">
        <v>1442.730738</v>
      </c>
    </row>
    <row r="203" spans="1:65">
      <c r="A203" s="1" t="s">
        <v>1157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  <c r="N203" s="34">
        <v>0</v>
      </c>
      <c r="O203" s="34">
        <v>0</v>
      </c>
      <c r="P203" s="34">
        <v>0</v>
      </c>
      <c r="Q203" s="34">
        <v>368.05223810000001</v>
      </c>
      <c r="R203" s="34">
        <v>336.62546470000001</v>
      </c>
      <c r="S203" s="34">
        <v>378.23804710000002</v>
      </c>
      <c r="T203" s="34">
        <v>455.10501520000003</v>
      </c>
      <c r="U203" s="34">
        <v>484.08494560000003</v>
      </c>
      <c r="V203" s="34">
        <v>572.8984514</v>
      </c>
      <c r="W203" s="34">
        <v>666.29570550000005</v>
      </c>
      <c r="X203" s="34">
        <v>662.86643030000005</v>
      </c>
      <c r="Y203" s="34">
        <v>649.31257960000005</v>
      </c>
      <c r="Z203" s="34">
        <v>685.00159440000004</v>
      </c>
      <c r="AA203" s="34">
        <v>639.62962549999997</v>
      </c>
      <c r="AB203" s="34">
        <v>724.86320950000004</v>
      </c>
      <c r="AC203" s="34">
        <v>865.87007200000005</v>
      </c>
      <c r="AD203" s="34">
        <v>1127.5506109999999</v>
      </c>
      <c r="AE203" s="34">
        <v>1121.2134679999999</v>
      </c>
      <c r="AF203" s="34">
        <v>1194.5410340000001</v>
      </c>
      <c r="AG203" s="34">
        <v>1388.0405009999999</v>
      </c>
      <c r="AH203" s="34">
        <v>1436.7836910000001</v>
      </c>
      <c r="AI203" s="34">
        <v>1449.3060029999999</v>
      </c>
      <c r="AJ203" s="34">
        <v>2047.1384310000001</v>
      </c>
      <c r="AK203" s="34">
        <v>2176.381296</v>
      </c>
      <c r="AL203" s="34">
        <v>2307.1309620000002</v>
      </c>
      <c r="AM203" s="34">
        <v>2225.1006750000001</v>
      </c>
      <c r="AN203" s="34">
        <v>1973.544795</v>
      </c>
      <c r="AO203" s="34">
        <v>2043.7510460000001</v>
      </c>
      <c r="AP203" s="34">
        <v>2091.1130090000001</v>
      </c>
      <c r="AQ203" s="34">
        <v>1839.086867</v>
      </c>
      <c r="AR203" s="34">
        <v>1845.6691269999999</v>
      </c>
      <c r="AS203" s="34">
        <v>2030.7754689999999</v>
      </c>
      <c r="AT203" s="34">
        <v>2301.6541149999998</v>
      </c>
      <c r="AU203" s="34">
        <v>2594.4187390000002</v>
      </c>
      <c r="AV203" s="34">
        <v>2873.0766370000001</v>
      </c>
      <c r="AW203" s="34">
        <v>2910.1451219999999</v>
      </c>
      <c r="AX203" s="34">
        <v>3331.5465549999999</v>
      </c>
      <c r="AY203" s="34">
        <v>3006.6063439999998</v>
      </c>
      <c r="AZ203" s="34">
        <v>3527.952342</v>
      </c>
      <c r="BA203" s="34">
        <v>4002.8137710000001</v>
      </c>
      <c r="BB203" s="34">
        <v>4581.7832449999996</v>
      </c>
      <c r="BC203" s="34">
        <v>4428.1465213085503</v>
      </c>
      <c r="BD203" s="34">
        <v>4354.2443599999997</v>
      </c>
      <c r="BE203" s="34">
        <v>4336.239603</v>
      </c>
      <c r="BF203" s="34">
        <v>4157.8772490000001</v>
      </c>
      <c r="BG203" s="34">
        <v>4513.4325310000004</v>
      </c>
      <c r="BH203" s="34">
        <v>4740.700272</v>
      </c>
      <c r="BI203" s="34">
        <v>4903.012138</v>
      </c>
      <c r="BJ203" s="34">
        <v>4624.8234490000004</v>
      </c>
    </row>
    <row r="204" spans="1:65">
      <c r="A204" s="1" t="s">
        <v>1158</v>
      </c>
      <c r="B204" s="34">
        <v>631.70658470000001</v>
      </c>
      <c r="C204" s="34">
        <v>676.40117840000005</v>
      </c>
      <c r="D204" s="34">
        <v>704.22315819999994</v>
      </c>
      <c r="E204" s="34">
        <v>760.39788529999998</v>
      </c>
      <c r="F204" s="34">
        <v>788.69664699999998</v>
      </c>
      <c r="G204" s="34">
        <v>807.86983810000004</v>
      </c>
      <c r="H204" s="34">
        <v>787.33840669999995</v>
      </c>
      <c r="I204" s="34">
        <v>823.5563085</v>
      </c>
      <c r="J204" s="34">
        <v>815.32710850000001</v>
      </c>
      <c r="K204" s="34">
        <v>831.42691300000001</v>
      </c>
      <c r="L204" s="34">
        <v>869.35411699999997</v>
      </c>
      <c r="M204" s="34">
        <v>938.269947</v>
      </c>
      <c r="N204" s="34">
        <v>1119.0380729999999</v>
      </c>
      <c r="O204" s="34">
        <v>1332.78153</v>
      </c>
      <c r="P204" s="34">
        <v>2049.2473009999999</v>
      </c>
      <c r="Q204" s="34">
        <v>2416.2483139999999</v>
      </c>
      <c r="R204" s="34">
        <v>2439.1774730000002</v>
      </c>
      <c r="S204" s="34">
        <v>3020.242941</v>
      </c>
      <c r="T204" s="34">
        <v>3381.2345369999998</v>
      </c>
      <c r="U204" s="34">
        <v>4306.7818889999999</v>
      </c>
      <c r="V204" s="34">
        <v>5748.673495</v>
      </c>
      <c r="W204" s="34">
        <v>6345.0010869999996</v>
      </c>
      <c r="X204" s="34">
        <v>7268.1058679999996</v>
      </c>
      <c r="Y204" s="34">
        <v>6821.8503060000003</v>
      </c>
      <c r="Z204" s="34">
        <v>6715.6068729999997</v>
      </c>
      <c r="AA204" s="34">
        <v>6302.6092269999999</v>
      </c>
      <c r="AB204" s="34">
        <v>4051.476568</v>
      </c>
      <c r="AC204" s="34">
        <v>4016.4497710000001</v>
      </c>
      <c r="AD204" s="34">
        <v>3734.461714</v>
      </c>
      <c r="AE204" s="34">
        <v>3564.3569349999998</v>
      </c>
      <c r="AF204" s="34">
        <v>4150.2848610000001</v>
      </c>
      <c r="AG204" s="34">
        <v>4318.5024279999998</v>
      </c>
      <c r="AH204" s="34">
        <v>4398.4951229999997</v>
      </c>
      <c r="AI204" s="34">
        <v>3754.8003720000002</v>
      </c>
      <c r="AJ204" s="34">
        <v>3959.2628730000001</v>
      </c>
      <c r="AK204" s="34">
        <v>4249.0943729999999</v>
      </c>
      <c r="AL204" s="34">
        <v>4579.9781050000001</v>
      </c>
      <c r="AM204" s="34">
        <v>4554.3564580000002</v>
      </c>
      <c r="AN204" s="34">
        <v>4790.1237380000002</v>
      </c>
      <c r="AO204" s="34">
        <v>5387.1643860000004</v>
      </c>
      <c r="AP204" s="34">
        <v>6435.1342119999999</v>
      </c>
      <c r="AQ204" s="34">
        <v>6939.8284709999998</v>
      </c>
      <c r="AR204" s="34">
        <v>7053.0873709999996</v>
      </c>
      <c r="AS204" s="34">
        <v>8807.8660679999994</v>
      </c>
      <c r="AT204" s="34">
        <v>10293.86925</v>
      </c>
      <c r="AU204" s="34">
        <v>12327.280710000001</v>
      </c>
      <c r="AV204" s="34">
        <v>14102.593290000001</v>
      </c>
      <c r="AW204" s="34">
        <v>16539.890749999999</v>
      </c>
      <c r="AX204" s="34">
        <v>21204.008180000001</v>
      </c>
      <c r="AY204" s="34">
        <v>14514.240610000001</v>
      </c>
      <c r="AZ204" s="34">
        <v>16683.393059999999</v>
      </c>
      <c r="BA204" s="34">
        <v>19034.120709999999</v>
      </c>
      <c r="BB204" s="34">
        <v>19157.459770000001</v>
      </c>
      <c r="BC204" s="34">
        <v>20143.545406065899</v>
      </c>
      <c r="BD204" s="34">
        <v>20270.93377</v>
      </c>
      <c r="BE204" s="34">
        <v>18214.460620000002</v>
      </c>
      <c r="BF204" s="34">
        <v>16250.62869</v>
      </c>
      <c r="BG204" s="34">
        <v>16173.74005</v>
      </c>
      <c r="BH204" s="34">
        <v>17037.862359999999</v>
      </c>
      <c r="BI204" s="34">
        <v>16637.162939999998</v>
      </c>
      <c r="BJ204" s="34">
        <v>15425.635109999999</v>
      </c>
    </row>
    <row r="205" spans="1:65">
      <c r="A205" s="1" t="s">
        <v>583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217.9112744</v>
      </c>
      <c r="H205" s="34">
        <v>224.2950878</v>
      </c>
      <c r="I205" s="34">
        <v>229.02823140000001</v>
      </c>
      <c r="J205" s="34">
        <v>250.69381089999999</v>
      </c>
      <c r="K205" s="34">
        <v>260.40905850000001</v>
      </c>
      <c r="L205" s="34">
        <v>284.22067900000002</v>
      </c>
      <c r="M205" s="34">
        <v>325.56465320000001</v>
      </c>
      <c r="N205" s="34">
        <v>422.85669309999997</v>
      </c>
      <c r="O205" s="34">
        <v>504.82840529999999</v>
      </c>
      <c r="P205" s="34">
        <v>641.10426080000002</v>
      </c>
      <c r="Q205" s="34">
        <v>765.18964579999999</v>
      </c>
      <c r="R205" s="34">
        <v>779.04486780000002</v>
      </c>
      <c r="S205" s="34">
        <v>863.06761119999999</v>
      </c>
      <c r="T205" s="34">
        <v>984.8001008</v>
      </c>
      <c r="U205" s="34">
        <v>1157.377923</v>
      </c>
      <c r="V205" s="34">
        <v>1371.835501</v>
      </c>
      <c r="W205" s="34">
        <v>1286.553975</v>
      </c>
      <c r="X205" s="34">
        <v>1206.642967</v>
      </c>
      <c r="Y205" s="34">
        <v>1203.658234</v>
      </c>
      <c r="Z205" s="34">
        <v>1156.9145450000001</v>
      </c>
      <c r="AA205" s="34">
        <v>1147.42922</v>
      </c>
      <c r="AB205" s="34">
        <v>1199.562537</v>
      </c>
      <c r="AC205" s="34">
        <v>1259.1361460000001</v>
      </c>
      <c r="AD205" s="34">
        <v>1281.2012950000001</v>
      </c>
      <c r="AE205" s="34">
        <v>1253.326397</v>
      </c>
      <c r="AF205" s="34">
        <v>1491.1197770000001</v>
      </c>
      <c r="AG205" s="34">
        <v>1551.3779979999999</v>
      </c>
      <c r="AH205" s="34">
        <v>1799.111582</v>
      </c>
      <c r="AI205" s="34">
        <v>1660.875002</v>
      </c>
      <c r="AJ205" s="34">
        <v>1743.1545329999999</v>
      </c>
      <c r="AK205" s="34">
        <v>1975.899862</v>
      </c>
      <c r="AL205" s="34">
        <v>2113.5874319999998</v>
      </c>
      <c r="AM205" s="34">
        <v>2208.2062430000001</v>
      </c>
      <c r="AN205" s="34">
        <v>2292.7117410000001</v>
      </c>
      <c r="AO205" s="34">
        <v>2386.5894920000001</v>
      </c>
      <c r="AP205" s="34">
        <v>2211.8350150000001</v>
      </c>
      <c r="AQ205" s="34">
        <v>2253.0348519999998</v>
      </c>
      <c r="AR205" s="34">
        <v>2344.3969069999998</v>
      </c>
      <c r="AS205" s="34">
        <v>2760.4051220000001</v>
      </c>
      <c r="AT205" s="34">
        <v>3111.3743810000001</v>
      </c>
      <c r="AU205" s="34">
        <v>3193.204358</v>
      </c>
      <c r="AV205" s="34">
        <v>3369.9244429999999</v>
      </c>
      <c r="AW205" s="34">
        <v>3776.332046</v>
      </c>
      <c r="AX205" s="34">
        <v>4307.5800230000004</v>
      </c>
      <c r="AY205" s="34">
        <v>4128.4639589999997</v>
      </c>
      <c r="AZ205" s="34">
        <v>4344.64192</v>
      </c>
      <c r="BA205" s="34">
        <v>4479.930327</v>
      </c>
      <c r="BB205" s="34">
        <v>4361.6877359999999</v>
      </c>
      <c r="BC205" s="34">
        <v>4444.8165114118101</v>
      </c>
      <c r="BD205" s="34">
        <v>4544.0166319999998</v>
      </c>
      <c r="BE205" s="34">
        <v>4094.8362870000001</v>
      </c>
      <c r="BF205" s="34">
        <v>3924.3633460000001</v>
      </c>
      <c r="BG205" s="34">
        <v>3687.7774610000001</v>
      </c>
      <c r="BH205" s="34">
        <v>3680.892597</v>
      </c>
      <c r="BI205" s="34">
        <v>3574.6540239999999</v>
      </c>
      <c r="BJ205" s="34">
        <v>3521.5919479999998</v>
      </c>
    </row>
    <row r="206" spans="1:65">
      <c r="A206" s="1" t="s">
        <v>455</v>
      </c>
      <c r="B206" s="34">
        <v>509.42396339999999</v>
      </c>
      <c r="C206" s="34">
        <v>283.82828430000001</v>
      </c>
      <c r="D206" s="34">
        <v>309.4466243</v>
      </c>
      <c r="E206" s="34">
        <v>350.66298519999998</v>
      </c>
      <c r="F206" s="34">
        <v>369.5834686</v>
      </c>
      <c r="G206" s="34">
        <v>386.35806059999999</v>
      </c>
      <c r="H206" s="34">
        <v>444.54948280000002</v>
      </c>
      <c r="I206" s="34">
        <v>481.69367990000001</v>
      </c>
      <c r="J206" s="34">
        <v>526.21347460000004</v>
      </c>
      <c r="K206" s="34">
        <v>571.6177702</v>
      </c>
      <c r="L206" s="34">
        <v>489.93036769999998</v>
      </c>
      <c r="M206" s="34">
        <v>455.10485820000002</v>
      </c>
      <c r="N206" s="34">
        <v>558.42092300000002</v>
      </c>
      <c r="O206" s="34">
        <v>686.49006650000001</v>
      </c>
      <c r="P206" s="34">
        <v>927.79921569999999</v>
      </c>
      <c r="Q206" s="34">
        <v>1136.3755960000001</v>
      </c>
      <c r="R206" s="34">
        <v>1275.956574</v>
      </c>
      <c r="S206" s="34">
        <v>1427.371795</v>
      </c>
      <c r="T206" s="34">
        <v>1549.644358</v>
      </c>
      <c r="U206" s="34">
        <v>2079.2202689999999</v>
      </c>
      <c r="V206" s="34">
        <v>1564.2471660000001</v>
      </c>
      <c r="W206" s="34">
        <v>1579.0737779999999</v>
      </c>
      <c r="X206" s="34">
        <v>1402.4064350000001</v>
      </c>
      <c r="Y206" s="34">
        <v>1310.2556520000001</v>
      </c>
      <c r="Z206" s="34">
        <v>1246.824468</v>
      </c>
      <c r="AA206" s="34">
        <v>1368.401652</v>
      </c>
      <c r="AB206" s="34">
        <v>1510.6763109999999</v>
      </c>
      <c r="AC206" s="34">
        <v>1705.8943839999999</v>
      </c>
      <c r="AD206" s="34">
        <v>1745.3649270000001</v>
      </c>
      <c r="AE206" s="34">
        <v>2021.8595299999999</v>
      </c>
      <c r="AF206" s="34">
        <v>2794.3504939999998</v>
      </c>
      <c r="AG206" s="34">
        <v>2735.7076149999998</v>
      </c>
      <c r="AH206" s="34">
        <v>2842.3699780000002</v>
      </c>
      <c r="AI206" s="34">
        <v>3180.1875770000001</v>
      </c>
      <c r="AJ206" s="34">
        <v>2270.337325</v>
      </c>
      <c r="AK206" s="34">
        <v>2897.8666400000002</v>
      </c>
      <c r="AL206" s="34">
        <v>3053.9472310000001</v>
      </c>
      <c r="AM206" s="34">
        <v>3144.3857029999999</v>
      </c>
      <c r="AN206" s="34">
        <v>4499.7375080000002</v>
      </c>
      <c r="AO206" s="34">
        <v>4116.1705599999996</v>
      </c>
      <c r="AP206" s="34">
        <v>4337.4780030000002</v>
      </c>
      <c r="AQ206" s="34">
        <v>3142.9209980000001</v>
      </c>
      <c r="AR206" s="34">
        <v>3687.9560929999998</v>
      </c>
      <c r="AS206" s="34">
        <v>4760.1040190000003</v>
      </c>
      <c r="AT206" s="34">
        <v>6101.6321170000001</v>
      </c>
      <c r="AU206" s="34">
        <v>7456.2961009999999</v>
      </c>
      <c r="AV206" s="34">
        <v>8101.8569239999997</v>
      </c>
      <c r="AW206" s="34">
        <v>9791.8824499999992</v>
      </c>
      <c r="AX206" s="34">
        <v>10941.17215</v>
      </c>
      <c r="AY206" s="34">
        <v>9103.4740509999992</v>
      </c>
      <c r="AZ206" s="34">
        <v>10742.77498</v>
      </c>
      <c r="BA206" s="34">
        <v>11420.55546</v>
      </c>
      <c r="BB206" s="34">
        <v>11795.633459999999</v>
      </c>
      <c r="BC206" s="34">
        <v>12614.781610038601</v>
      </c>
      <c r="BD206" s="34">
        <v>12157.99043</v>
      </c>
      <c r="BE206" s="34">
        <v>11006.27952</v>
      </c>
      <c r="BF206" s="34">
        <v>10894.60338</v>
      </c>
      <c r="BG206" s="34">
        <v>10589.667719999999</v>
      </c>
      <c r="BH206" s="34">
        <v>9454.3484430000008</v>
      </c>
      <c r="BI206" s="34">
        <v>9121.5151669999996</v>
      </c>
      <c r="BJ206" s="34">
        <v>8536.4333200000001</v>
      </c>
    </row>
    <row r="207" spans="1:65">
      <c r="A207" s="1" t="s">
        <v>1159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  <c r="N207" s="34">
        <v>0</v>
      </c>
      <c r="O207" s="34">
        <v>0</v>
      </c>
      <c r="P207" s="34">
        <v>0</v>
      </c>
      <c r="Q207" s="34">
        <v>0</v>
      </c>
      <c r="R207" s="34">
        <v>0</v>
      </c>
      <c r="S207" s="34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0</v>
      </c>
      <c r="AD207" s="34">
        <v>0</v>
      </c>
      <c r="AE207" s="34">
        <v>0</v>
      </c>
      <c r="AF207" s="34">
        <v>990.3981751</v>
      </c>
      <c r="AG207" s="34">
        <v>1038.957834</v>
      </c>
      <c r="AH207" s="34">
        <v>1069.478537</v>
      </c>
      <c r="AI207" s="34">
        <v>1047.505216</v>
      </c>
      <c r="AJ207" s="34">
        <v>1175.8100830000001</v>
      </c>
      <c r="AK207" s="34">
        <v>1185.8405190000001</v>
      </c>
      <c r="AL207" s="34">
        <v>1323.907506</v>
      </c>
      <c r="AM207" s="34">
        <v>1361.5893490000001</v>
      </c>
      <c r="AN207" s="34">
        <v>1367.0845340000001</v>
      </c>
      <c r="AO207" s="34">
        <v>1464.805341</v>
      </c>
      <c r="AP207" s="34">
        <v>1463.166211</v>
      </c>
      <c r="AQ207" s="34">
        <v>1392.3343480000001</v>
      </c>
      <c r="AR207" s="34">
        <v>1610.6530009999999</v>
      </c>
      <c r="AS207" s="34">
        <v>1874.8538189999999</v>
      </c>
      <c r="AT207" s="34">
        <v>2181.6362690000001</v>
      </c>
      <c r="AU207" s="34">
        <v>2184.565259</v>
      </c>
      <c r="AV207" s="34">
        <v>2263.5759480000002</v>
      </c>
      <c r="AW207" s="34">
        <v>2645.1095049999999</v>
      </c>
      <c r="AX207" s="34">
        <v>2936.5215469999998</v>
      </c>
      <c r="AY207" s="34">
        <v>2602.6194439999999</v>
      </c>
      <c r="AZ207" s="34">
        <v>3024.7617740000001</v>
      </c>
      <c r="BA207" s="34">
        <v>3643.1216079999999</v>
      </c>
      <c r="BB207" s="34">
        <v>3506.3081440000001</v>
      </c>
      <c r="BC207" s="34">
        <v>3457.3762661098099</v>
      </c>
      <c r="BD207" s="34">
        <v>3398.3967499999999</v>
      </c>
      <c r="BE207" s="34">
        <v>3197.7722520000002</v>
      </c>
      <c r="BF207" s="34">
        <v>3253.8995359999999</v>
      </c>
      <c r="BG207" s="34">
        <v>3574.0652879999998</v>
      </c>
      <c r="BH207" s="34">
        <v>3701.7092550000002</v>
      </c>
      <c r="BI207" s="34">
        <v>4055.89561</v>
      </c>
      <c r="BJ207" s="34">
        <v>4143.1097529999997</v>
      </c>
    </row>
    <row r="208" spans="1:65">
      <c r="A208" s="1" t="s">
        <v>1101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  <c r="N208" s="34">
        <v>0</v>
      </c>
      <c r="O208" s="34">
        <v>0</v>
      </c>
      <c r="P208" s="34">
        <v>0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221.58814409999999</v>
      </c>
      <c r="AE208" s="34">
        <v>186.21867789999999</v>
      </c>
      <c r="AF208" s="34">
        <v>173.7906179</v>
      </c>
      <c r="AG208" s="34">
        <v>195.66145299999999</v>
      </c>
      <c r="AH208" s="34">
        <v>175.5580799</v>
      </c>
      <c r="AI208" s="34">
        <v>157.0608125</v>
      </c>
      <c r="AJ208" s="34">
        <v>161.17687799999999</v>
      </c>
      <c r="AK208" s="34">
        <v>182.36192800000001</v>
      </c>
      <c r="AL208" s="34">
        <v>219.55021110000001</v>
      </c>
      <c r="AM208" s="34">
        <v>253.4759847</v>
      </c>
      <c r="AN208" s="34">
        <v>395.53262080000002</v>
      </c>
      <c r="AO208" s="34">
        <v>400.2636718</v>
      </c>
      <c r="AP208" s="34">
        <v>410.95236549999998</v>
      </c>
      <c r="AQ208" s="34">
        <v>406.53875369999997</v>
      </c>
      <c r="AR208" s="34">
        <v>411.97232179999997</v>
      </c>
      <c r="AS208" s="34">
        <v>431.27972979999998</v>
      </c>
      <c r="AT208" s="34">
        <v>459.2592952</v>
      </c>
      <c r="AU208" s="34">
        <v>492.63133970000001</v>
      </c>
      <c r="AV208" s="34">
        <v>485.49744950000002</v>
      </c>
      <c r="AW208" s="34">
        <v>552.83950159999995</v>
      </c>
      <c r="AX208" s="34">
        <v>687.39044550000006</v>
      </c>
      <c r="AY208" s="34">
        <v>695.21684330000005</v>
      </c>
      <c r="AZ208" s="34">
        <v>743.40366389999997</v>
      </c>
      <c r="BA208" s="34">
        <v>781.43389569999999</v>
      </c>
      <c r="BB208" s="34">
        <v>867.8574989</v>
      </c>
      <c r="BC208" s="34">
        <v>970.39960143041105</v>
      </c>
      <c r="BD208" s="34">
        <v>1030.077648</v>
      </c>
      <c r="BE208" s="34">
        <v>947.9333517</v>
      </c>
      <c r="BF208" s="34">
        <v>966.50301660000002</v>
      </c>
      <c r="BG208" s="34">
        <v>1004.9065880000001</v>
      </c>
      <c r="BH208" s="34">
        <v>1042.838759</v>
      </c>
      <c r="BI208" s="34">
        <v>1085.884861</v>
      </c>
      <c r="BJ208" s="34">
        <v>1076.4703850000001</v>
      </c>
    </row>
    <row r="209" spans="1:62">
      <c r="A209" s="1" t="s">
        <v>1110</v>
      </c>
      <c r="B209" s="34">
        <v>62.509625370000002</v>
      </c>
      <c r="C209" s="34">
        <v>63.220967340000001</v>
      </c>
      <c r="D209" s="34">
        <v>62.226314590000001</v>
      </c>
      <c r="E209" s="34">
        <v>69.173543010000003</v>
      </c>
      <c r="F209" s="34">
        <v>76.311486220000006</v>
      </c>
      <c r="G209" s="34">
        <v>110.802289</v>
      </c>
      <c r="H209" s="34">
        <v>112.03215369999999</v>
      </c>
      <c r="I209" s="34">
        <v>113.1692177</v>
      </c>
      <c r="J209" s="34">
        <v>117.3845508</v>
      </c>
      <c r="K209" s="34">
        <v>128.074736</v>
      </c>
      <c r="L209" s="34">
        <v>133.9715946</v>
      </c>
      <c r="M209" s="34">
        <v>146.5889396</v>
      </c>
      <c r="N209" s="34">
        <v>150.2165273</v>
      </c>
      <c r="O209" s="34">
        <v>167.13582</v>
      </c>
      <c r="P209" s="34">
        <v>200.91235309999999</v>
      </c>
      <c r="Q209" s="34">
        <v>219.7510474</v>
      </c>
      <c r="R209" s="34">
        <v>221.61600469999999</v>
      </c>
      <c r="S209" s="34">
        <v>258.29617889999997</v>
      </c>
      <c r="T209" s="34">
        <v>206.63842940000001</v>
      </c>
      <c r="U209" s="34">
        <v>177.20157330000001</v>
      </c>
      <c r="V209" s="34">
        <v>100.0302757</v>
      </c>
      <c r="W209" s="34">
        <v>104.2722215</v>
      </c>
      <c r="X209" s="34">
        <v>164.68775389999999</v>
      </c>
      <c r="Y209" s="34">
        <v>164.2626181</v>
      </c>
      <c r="Z209" s="34">
        <v>256.74081189999998</v>
      </c>
      <c r="AA209" s="34">
        <v>241.74600150000001</v>
      </c>
      <c r="AB209" s="34">
        <v>260.32840590000001</v>
      </c>
      <c r="AC209" s="34">
        <v>401.56346630000002</v>
      </c>
      <c r="AD209" s="34">
        <v>402.2793423</v>
      </c>
      <c r="AE209" s="34">
        <v>314.76872159999999</v>
      </c>
      <c r="AF209" s="34">
        <v>248.02932430000001</v>
      </c>
      <c r="AG209" s="34">
        <v>185.01811720000001</v>
      </c>
      <c r="AH209" s="34">
        <v>153.9440238</v>
      </c>
      <c r="AI209" s="34">
        <v>167.94124919999999</v>
      </c>
      <c r="AJ209" s="34">
        <v>201.60265649999999</v>
      </c>
      <c r="AK209" s="34">
        <v>281.96613330000002</v>
      </c>
      <c r="AL209" s="34">
        <v>287.38829070000003</v>
      </c>
      <c r="AM209" s="34">
        <v>289.50449450000002</v>
      </c>
      <c r="AN209" s="34">
        <v>295.4052653</v>
      </c>
      <c r="AO209" s="34">
        <v>261.34790650000002</v>
      </c>
      <c r="AP209" s="34">
        <v>261.86914159999998</v>
      </c>
      <c r="AQ209" s="34">
        <v>239.47312700000001</v>
      </c>
      <c r="AR209" s="34">
        <v>245.50004029999999</v>
      </c>
      <c r="AS209" s="34">
        <v>254.30120429999999</v>
      </c>
      <c r="AT209" s="34">
        <v>296.01426750000002</v>
      </c>
      <c r="AU209" s="34">
        <v>333.73157629999997</v>
      </c>
      <c r="AV209" s="34">
        <v>349.21710009999998</v>
      </c>
      <c r="AW209" s="34">
        <v>403.66374459999997</v>
      </c>
      <c r="AX209" s="34">
        <v>474.51794960000001</v>
      </c>
      <c r="AY209" s="34">
        <v>799.96589630000005</v>
      </c>
      <c r="AZ209" s="34">
        <v>822.53937250000001</v>
      </c>
      <c r="BA209" s="34">
        <v>832.56907820000004</v>
      </c>
      <c r="BB209" s="34">
        <v>790.13145059999999</v>
      </c>
      <c r="BC209" s="34">
        <v>810.090395013891</v>
      </c>
      <c r="BD209" s="34">
        <v>883.52874450000002</v>
      </c>
      <c r="BE209" s="34">
        <v>847.26762889999998</v>
      </c>
      <c r="BF209" s="34">
        <v>736.55984739999997</v>
      </c>
      <c r="BG209" s="34">
        <v>746.83075289999999</v>
      </c>
      <c r="BH209" s="34">
        <v>770.60078429999999</v>
      </c>
      <c r="BI209" s="34">
        <v>798.58573409999997</v>
      </c>
      <c r="BJ209" s="34">
        <v>822.02768149999997</v>
      </c>
    </row>
    <row r="210" spans="1:62">
      <c r="A210" s="1" t="s">
        <v>1111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1249.445248</v>
      </c>
      <c r="AD210" s="34">
        <v>1449.9661659999999</v>
      </c>
      <c r="AE210" s="34">
        <v>1597.535384</v>
      </c>
      <c r="AF210" s="34">
        <v>1569.7571379999999</v>
      </c>
      <c r="AG210" s="34">
        <v>0</v>
      </c>
      <c r="AH210" s="34">
        <v>1378.636186</v>
      </c>
      <c r="AI210" s="34">
        <v>1257.3500959999999</v>
      </c>
      <c r="AJ210" s="34">
        <v>1011.979433</v>
      </c>
      <c r="AK210" s="34">
        <v>935.97615459999997</v>
      </c>
      <c r="AL210" s="34">
        <v>872.69872290000001</v>
      </c>
      <c r="AM210" s="34">
        <v>991.22043369999994</v>
      </c>
      <c r="AN210" s="34">
        <v>835.25098279999997</v>
      </c>
      <c r="AO210" s="34">
        <v>635.76440920000005</v>
      </c>
      <c r="AP210" s="34">
        <v>635.70441819999996</v>
      </c>
      <c r="AQ210" s="34">
        <v>780.32117889999995</v>
      </c>
      <c r="AR210" s="34">
        <v>878.61874890000001</v>
      </c>
      <c r="AS210" s="34">
        <v>1047.50279</v>
      </c>
      <c r="AT210" s="34">
        <v>1366.016476</v>
      </c>
      <c r="AU210" s="34">
        <v>1826.9313910000001</v>
      </c>
      <c r="AV210" s="34">
        <v>2300.7697090000001</v>
      </c>
      <c r="AW210" s="34">
        <v>3065.6112939999998</v>
      </c>
      <c r="AX210" s="34">
        <v>3887.2423370000001</v>
      </c>
      <c r="AY210" s="34">
        <v>2542.9954240000002</v>
      </c>
      <c r="AZ210" s="34">
        <v>2965.1397149999998</v>
      </c>
      <c r="BA210" s="34">
        <v>3569.7581209999998</v>
      </c>
      <c r="BB210" s="34">
        <v>3855.4177289999998</v>
      </c>
      <c r="BC210" s="34">
        <v>4029.7112516254501</v>
      </c>
      <c r="BD210" s="34">
        <v>3104.6432060000002</v>
      </c>
      <c r="BE210" s="34">
        <v>2124.662319</v>
      </c>
      <c r="BF210" s="34">
        <v>2187.7305099999999</v>
      </c>
      <c r="BG210" s="34">
        <v>2640.6756770000002</v>
      </c>
      <c r="BH210" s="34">
        <v>3096.8174020000001</v>
      </c>
      <c r="BI210" s="34">
        <v>3662.563087</v>
      </c>
      <c r="BJ210" s="34">
        <v>3726.9271490000001</v>
      </c>
    </row>
    <row r="211" spans="1:62">
      <c r="A211" s="1" t="s">
        <v>1205</v>
      </c>
      <c r="B211" s="34">
        <v>217.95186369999999</v>
      </c>
      <c r="C211" s="34">
        <v>191.57846670000001</v>
      </c>
      <c r="D211" s="34">
        <v>193.64405110000001</v>
      </c>
      <c r="E211" s="34">
        <v>198.43965829999999</v>
      </c>
      <c r="F211" s="34">
        <v>222.65166199999999</v>
      </c>
      <c r="G211" s="34">
        <v>243.14362629999999</v>
      </c>
      <c r="H211" s="34">
        <v>262.15114219999998</v>
      </c>
      <c r="I211" s="34">
        <v>257.5772776</v>
      </c>
      <c r="J211" s="34">
        <v>262.49136950000002</v>
      </c>
      <c r="K211" s="34">
        <v>287.1914625</v>
      </c>
      <c r="L211" s="34">
        <v>306.76706999999999</v>
      </c>
      <c r="M211" s="34">
        <v>325.75954109999998</v>
      </c>
      <c r="N211" s="34">
        <v>362.63144690000001</v>
      </c>
      <c r="O211" s="34">
        <v>461.57447050000002</v>
      </c>
      <c r="P211" s="34">
        <v>560.98918309999999</v>
      </c>
      <c r="Q211" s="34">
        <v>607.11881319999998</v>
      </c>
      <c r="R211" s="34">
        <v>629.6297922</v>
      </c>
      <c r="S211" s="34">
        <v>685.57508329999996</v>
      </c>
      <c r="T211" s="34">
        <v>724.11891809999997</v>
      </c>
      <c r="U211" s="34">
        <v>865.96074399999998</v>
      </c>
      <c r="V211" s="34">
        <v>991.62240929999996</v>
      </c>
      <c r="W211" s="34">
        <v>1055.82519</v>
      </c>
      <c r="X211" s="34">
        <v>992.86602949999997</v>
      </c>
      <c r="Y211" s="34">
        <v>927.53105470000003</v>
      </c>
      <c r="Z211" s="34">
        <v>942.38011129999995</v>
      </c>
      <c r="AA211" s="34">
        <v>980.14029319999997</v>
      </c>
      <c r="AB211" s="34">
        <v>980.8390005</v>
      </c>
      <c r="AC211" s="34">
        <v>1029.938889</v>
      </c>
      <c r="AD211" s="34">
        <v>1120.6949970000001</v>
      </c>
      <c r="AE211" s="34">
        <v>1138.027343</v>
      </c>
      <c r="AF211" s="34">
        <v>1323.9128900000001</v>
      </c>
      <c r="AG211" s="34">
        <v>1264.2403999999999</v>
      </c>
      <c r="AH211" s="34">
        <v>1306.4943049999999</v>
      </c>
      <c r="AI211" s="34">
        <v>1417.883675</v>
      </c>
      <c r="AJ211" s="34">
        <v>1555.3618550000001</v>
      </c>
      <c r="AK211" s="34">
        <v>1730.831725</v>
      </c>
      <c r="AL211" s="34">
        <v>1861.8056200000001</v>
      </c>
      <c r="AM211" s="34">
        <v>1972.022393</v>
      </c>
      <c r="AN211" s="34">
        <v>1928.575544</v>
      </c>
      <c r="AO211" s="34">
        <v>1804.784703</v>
      </c>
      <c r="AP211" s="34">
        <v>1975.328784</v>
      </c>
      <c r="AQ211" s="34">
        <v>1970.2847810000001</v>
      </c>
      <c r="AR211" s="34">
        <v>1972.2439429999999</v>
      </c>
      <c r="AS211" s="34">
        <v>2193.3500079999999</v>
      </c>
      <c r="AT211" s="34">
        <v>2610.4778630000001</v>
      </c>
      <c r="AU211" s="34">
        <v>3115.856972</v>
      </c>
      <c r="AV211" s="34">
        <v>3675.6722140000002</v>
      </c>
      <c r="AW211" s="34">
        <v>4534.3960129999996</v>
      </c>
      <c r="AX211" s="34">
        <v>5493.6747859999996</v>
      </c>
      <c r="AY211" s="34">
        <v>5245.5071520000001</v>
      </c>
      <c r="AZ211" s="34">
        <v>6324.49586</v>
      </c>
      <c r="BA211" s="34">
        <v>7567.4209950000004</v>
      </c>
      <c r="BB211" s="34">
        <v>8035.9811179999997</v>
      </c>
      <c r="BC211" s="34">
        <v>8559.8512395648704</v>
      </c>
      <c r="BD211" s="34">
        <v>8754.5374570000004</v>
      </c>
      <c r="BE211" s="34">
        <v>8155.8818019999999</v>
      </c>
      <c r="BF211" s="34">
        <v>8053.1678840000004</v>
      </c>
      <c r="BG211" s="34">
        <v>8846.4763860000003</v>
      </c>
      <c r="BH211" s="34">
        <v>9468.9329830000006</v>
      </c>
      <c r="BI211" s="34">
        <v>9572.8727870000002</v>
      </c>
      <c r="BJ211" s="34">
        <v>9177.8404370000007</v>
      </c>
    </row>
    <row r="212" spans="1:62">
      <c r="A212" s="1" t="s">
        <v>334</v>
      </c>
      <c r="B212" s="34">
        <v>489.35072500000001</v>
      </c>
      <c r="C212" s="34">
        <v>601.70300269999996</v>
      </c>
      <c r="D212" s="34">
        <v>656.71322680000003</v>
      </c>
      <c r="E212" s="34">
        <v>584.29163349999999</v>
      </c>
      <c r="F212" s="34">
        <v>741.24499800000001</v>
      </c>
      <c r="G212" s="34">
        <v>701.7047182</v>
      </c>
      <c r="H212" s="34">
        <v>664.43984109999997</v>
      </c>
      <c r="I212" s="34">
        <v>580.97025880000001</v>
      </c>
      <c r="J212" s="34">
        <v>574.34688249999999</v>
      </c>
      <c r="K212" s="34">
        <v>717.14094799999998</v>
      </c>
      <c r="L212" s="34">
        <v>760.58706480000001</v>
      </c>
      <c r="M212" s="34">
        <v>996.08806660000005</v>
      </c>
      <c r="N212" s="34">
        <v>775.98815979999995</v>
      </c>
      <c r="O212" s="34">
        <v>1404.726557</v>
      </c>
      <c r="P212" s="34">
        <v>1448.3258109999999</v>
      </c>
      <c r="Q212" s="34">
        <v>1250.2008080000001</v>
      </c>
      <c r="R212" s="34">
        <v>1290.630911</v>
      </c>
      <c r="S212" s="34">
        <v>1440.2266549999999</v>
      </c>
      <c r="T212" s="34">
        <v>1707.4855869999999</v>
      </c>
      <c r="U212" s="34">
        <v>2479.962509</v>
      </c>
      <c r="V212" s="34">
        <v>3485.9911029999998</v>
      </c>
      <c r="W212" s="34">
        <v>3764.821504</v>
      </c>
      <c r="X212" s="34">
        <v>3107.4008319999998</v>
      </c>
      <c r="Y212" s="34">
        <v>1716.1785669999999</v>
      </c>
      <c r="Z212" s="34">
        <v>1620.9345619999999</v>
      </c>
      <c r="AA212" s="34">
        <v>1571.306</v>
      </c>
      <c r="AB212" s="34">
        <v>1940.2144249999999</v>
      </c>
      <c r="AC212" s="34">
        <v>2415.9037189999999</v>
      </c>
      <c r="AD212" s="34">
        <v>2676.5333810000002</v>
      </c>
      <c r="AE212" s="34">
        <v>2732.2875349999999</v>
      </c>
      <c r="AF212" s="34">
        <v>2990.3671330000002</v>
      </c>
      <c r="AG212" s="34">
        <v>3578.288157</v>
      </c>
      <c r="AH212" s="34">
        <v>4082.5383630000001</v>
      </c>
      <c r="AI212" s="34">
        <v>4721.0076479999998</v>
      </c>
      <c r="AJ212" s="34">
        <v>5458.8673609999996</v>
      </c>
      <c r="AK212" s="34">
        <v>5985.116994</v>
      </c>
      <c r="AL212" s="34">
        <v>6317.5618770000001</v>
      </c>
      <c r="AM212" s="34">
        <v>7329.8669389999995</v>
      </c>
      <c r="AN212" s="34">
        <v>7713.6187680000003</v>
      </c>
      <c r="AO212" s="34">
        <v>7250.27477</v>
      </c>
      <c r="AP212" s="34">
        <v>6875.0254690000002</v>
      </c>
      <c r="AQ212" s="34">
        <v>6284.4596799999999</v>
      </c>
      <c r="AR212" s="34">
        <v>4090.8918880000001</v>
      </c>
      <c r="AS212" s="34">
        <v>3624.2056849999999</v>
      </c>
      <c r="AT212" s="34">
        <v>4120.5442050000001</v>
      </c>
      <c r="AU212" s="34">
        <v>5226.9440999999997</v>
      </c>
      <c r="AV212" s="34">
        <v>5887.8451619999996</v>
      </c>
      <c r="AW212" s="34">
        <v>7026.5030550000001</v>
      </c>
      <c r="AX212" s="34">
        <v>9091.0790390000002</v>
      </c>
      <c r="AY212" s="34">
        <v>9451.9324489999999</v>
      </c>
      <c r="AZ212" s="34">
        <v>11992.02377</v>
      </c>
      <c r="BA212" s="34">
        <v>14236.715</v>
      </c>
      <c r="BB212" s="34">
        <v>15171.580169999999</v>
      </c>
      <c r="BC212" s="34">
        <v>16973.689236471801</v>
      </c>
      <c r="BD212" s="34">
        <v>16831.948189999999</v>
      </c>
      <c r="BE212" s="34">
        <v>15613.74597</v>
      </c>
      <c r="BF212" s="34">
        <v>16715.633470000001</v>
      </c>
      <c r="BG212" s="34">
        <v>18690.893840000001</v>
      </c>
      <c r="BH212" s="34">
        <v>18703.860290000001</v>
      </c>
      <c r="BI212" s="34">
        <v>17688.015009999999</v>
      </c>
      <c r="BJ212" s="34">
        <v>15438.41167</v>
      </c>
    </row>
    <row r="213" spans="1:62">
      <c r="A213" s="1" t="s">
        <v>155</v>
      </c>
      <c r="B213" s="34">
        <v>3007.1234450000002</v>
      </c>
      <c r="C213" s="34">
        <v>3066.5628689999999</v>
      </c>
      <c r="D213" s="34">
        <v>3243.8430779999999</v>
      </c>
      <c r="E213" s="34">
        <v>3374.515171</v>
      </c>
      <c r="F213" s="34">
        <v>3573.9411850000001</v>
      </c>
      <c r="G213" s="34">
        <v>3827.52711</v>
      </c>
      <c r="H213" s="34">
        <v>4146.3166460000002</v>
      </c>
      <c r="I213" s="34">
        <v>4336.4265869999999</v>
      </c>
      <c r="J213" s="34">
        <v>4695.9233899999999</v>
      </c>
      <c r="K213" s="34">
        <v>5032.1447429999998</v>
      </c>
      <c r="L213" s="34">
        <v>5234.2966660000002</v>
      </c>
      <c r="M213" s="34">
        <v>5609.3825999999999</v>
      </c>
      <c r="N213" s="34">
        <v>6094.0179900000003</v>
      </c>
      <c r="O213" s="34">
        <v>6726.358956</v>
      </c>
      <c r="P213" s="34">
        <v>7225.6913599999998</v>
      </c>
      <c r="Q213" s="34">
        <v>7801.4566640000003</v>
      </c>
      <c r="R213" s="34">
        <v>8592.2535370000005</v>
      </c>
      <c r="S213" s="34">
        <v>9452.5765190000002</v>
      </c>
      <c r="T213" s="34">
        <v>10564.94822</v>
      </c>
      <c r="U213" s="34">
        <v>11674.18187</v>
      </c>
      <c r="V213" s="34">
        <v>12574.791509999999</v>
      </c>
      <c r="W213" s="34">
        <v>13976.105390000001</v>
      </c>
      <c r="X213" s="34">
        <v>14433.78773</v>
      </c>
      <c r="Y213" s="34">
        <v>15543.89372</v>
      </c>
      <c r="Z213" s="34">
        <v>17121.225480000001</v>
      </c>
      <c r="AA213" s="34">
        <v>18236.827730000001</v>
      </c>
      <c r="AB213" s="34">
        <v>19071.227190000001</v>
      </c>
      <c r="AC213" s="34">
        <v>20038.9411</v>
      </c>
      <c r="AD213" s="34">
        <v>21417.011930000001</v>
      </c>
      <c r="AE213" s="34">
        <v>22857.154429999999</v>
      </c>
      <c r="AF213" s="34">
        <v>23888.600009999998</v>
      </c>
      <c r="AG213" s="34">
        <v>24342.258900000001</v>
      </c>
      <c r="AH213" s="34">
        <v>25418.99078</v>
      </c>
      <c r="AI213" s="34">
        <v>26387.293730000001</v>
      </c>
      <c r="AJ213" s="34">
        <v>27694.853419999999</v>
      </c>
      <c r="AK213" s="34">
        <v>28690.875700000001</v>
      </c>
      <c r="AL213" s="34">
        <v>29967.71272</v>
      </c>
      <c r="AM213" s="34">
        <v>31459.13898</v>
      </c>
      <c r="AN213" s="34">
        <v>32853.676950000001</v>
      </c>
      <c r="AO213" s="34">
        <v>34513.561500000003</v>
      </c>
      <c r="AP213" s="34">
        <v>36334.908779999998</v>
      </c>
      <c r="AQ213" s="34">
        <v>37133.242810000003</v>
      </c>
      <c r="AR213" s="34">
        <v>38023.161110000001</v>
      </c>
      <c r="AS213" s="34">
        <v>39496.48588</v>
      </c>
      <c r="AT213" s="34">
        <v>41712.801070000001</v>
      </c>
      <c r="AU213" s="34">
        <v>44114.747779999998</v>
      </c>
      <c r="AV213" s="34">
        <v>46298.731440000003</v>
      </c>
      <c r="AW213" s="34">
        <v>47975.967700000001</v>
      </c>
      <c r="AX213" s="34">
        <v>48382.558449999997</v>
      </c>
      <c r="AY213" s="34">
        <v>47099.980470000002</v>
      </c>
      <c r="AZ213" s="34">
        <v>48466.657599999999</v>
      </c>
      <c r="BA213" s="34">
        <v>49882.558129999998</v>
      </c>
      <c r="BB213" s="34">
        <v>51602.931049999999</v>
      </c>
      <c r="BC213" s="34">
        <v>53106.536767216501</v>
      </c>
      <c r="BD213" s="34">
        <v>55049.98833</v>
      </c>
      <c r="BE213" s="34">
        <v>56863.371500000001</v>
      </c>
      <c r="BF213" s="34">
        <v>58021.400500000003</v>
      </c>
      <c r="BG213" s="34">
        <v>60109.655729999999</v>
      </c>
      <c r="BH213" s="34">
        <v>63064.418409999998</v>
      </c>
      <c r="BI213" s="34">
        <v>65279.529029999998</v>
      </c>
      <c r="BJ213" s="34">
        <v>63413.513859999999</v>
      </c>
    </row>
    <row r="214" spans="1:62">
      <c r="A214" s="1" t="s">
        <v>1112</v>
      </c>
      <c r="B214" s="34">
        <v>0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0</v>
      </c>
      <c r="AE214" s="34">
        <v>0</v>
      </c>
      <c r="AF214" s="34">
        <v>651.4192061</v>
      </c>
      <c r="AG214" s="34">
        <v>652.80747529999996</v>
      </c>
      <c r="AH214" s="34">
        <v>603.35201529999995</v>
      </c>
      <c r="AI214" s="34">
        <v>596.98358559999997</v>
      </c>
      <c r="AJ214" s="34">
        <v>576.44711050000001</v>
      </c>
      <c r="AK214" s="34">
        <v>585.93236420000005</v>
      </c>
      <c r="AL214" s="34">
        <v>600.59815779999997</v>
      </c>
      <c r="AM214" s="34">
        <v>623.00265239999999</v>
      </c>
      <c r="AN214" s="34">
        <v>623.21613279999997</v>
      </c>
      <c r="AO214" s="34">
        <v>702.48074410000004</v>
      </c>
      <c r="AP214" s="34">
        <v>558.2268024</v>
      </c>
      <c r="AQ214" s="34">
        <v>456.70628950000003</v>
      </c>
      <c r="AR214" s="34">
        <v>383.34306800000002</v>
      </c>
      <c r="AS214" s="34">
        <v>396.37797899999998</v>
      </c>
      <c r="AT214" s="34">
        <v>465.11988689999998</v>
      </c>
      <c r="AU214" s="34">
        <v>546.77685020000001</v>
      </c>
      <c r="AV214" s="34">
        <v>654.28383729999996</v>
      </c>
      <c r="AW214" s="34">
        <v>830.40769420000004</v>
      </c>
      <c r="AX214" s="34">
        <v>1082.2860250000001</v>
      </c>
      <c r="AY214" s="34">
        <v>1213.265328</v>
      </c>
      <c r="AZ214" s="34">
        <v>1742.349256</v>
      </c>
      <c r="BA214" s="34">
        <v>2051.1295150000001</v>
      </c>
      <c r="BB214" s="34">
        <v>2267.6232749999999</v>
      </c>
      <c r="BC214" s="34">
        <v>2419.7187034548401</v>
      </c>
      <c r="BD214" s="34">
        <v>2628.460008</v>
      </c>
      <c r="BE214" s="34">
        <v>2753.9710719999998</v>
      </c>
      <c r="BF214" s="34">
        <v>2704.6771880000001</v>
      </c>
      <c r="BG214" s="34">
        <v>1916.7646420000001</v>
      </c>
      <c r="BH214" s="34">
        <v>1597.0683369999999</v>
      </c>
      <c r="BI214" s="34">
        <v>1784.009816</v>
      </c>
      <c r="BJ214" s="34">
        <v>1750.6971129999999</v>
      </c>
    </row>
    <row r="215" spans="1:62">
      <c r="A215" s="1" t="s">
        <v>1152</v>
      </c>
      <c r="B215" s="34">
        <v>161.3752968</v>
      </c>
      <c r="C215" s="34">
        <v>170.38121090000001</v>
      </c>
      <c r="D215" s="34">
        <v>174.49607710000001</v>
      </c>
      <c r="E215" s="34">
        <v>162.8054525</v>
      </c>
      <c r="F215" s="34">
        <v>173.38734149999999</v>
      </c>
      <c r="G215" s="34">
        <v>175.65844770000001</v>
      </c>
      <c r="H215" s="34">
        <v>185.2539592</v>
      </c>
      <c r="I215" s="34">
        <v>180.3982494</v>
      </c>
      <c r="J215" s="34">
        <v>173.1274602</v>
      </c>
      <c r="K215" s="34">
        <v>185.89850949999999</v>
      </c>
      <c r="L215" s="34">
        <v>203.86515069999999</v>
      </c>
      <c r="M215" s="34">
        <v>219.16764879999999</v>
      </c>
      <c r="N215" s="34">
        <v>298.18604269999997</v>
      </c>
      <c r="O215" s="34">
        <v>322.42086410000002</v>
      </c>
      <c r="P215" s="34">
        <v>347.9698985</v>
      </c>
      <c r="Q215" s="34">
        <v>347.43286169999999</v>
      </c>
      <c r="R215" s="34">
        <v>339.13666799999999</v>
      </c>
      <c r="S215" s="34">
        <v>505.10871020000002</v>
      </c>
      <c r="T215" s="34">
        <v>616.53667600000006</v>
      </c>
      <c r="U215" s="34">
        <v>713.46786850000001</v>
      </c>
      <c r="V215" s="34">
        <v>818.7691628</v>
      </c>
      <c r="W215" s="34">
        <v>1006.3835340000001</v>
      </c>
      <c r="X215" s="34">
        <v>1112.5050450000001</v>
      </c>
      <c r="Y215" s="34">
        <v>1186.541948</v>
      </c>
      <c r="Z215" s="34">
        <v>1301.119602</v>
      </c>
      <c r="AA215" s="34">
        <v>1393.660519</v>
      </c>
      <c r="AB215" s="34">
        <v>1528.713579</v>
      </c>
      <c r="AC215" s="34">
        <v>1657.907062</v>
      </c>
      <c r="AD215" s="34">
        <v>1884.1740359999999</v>
      </c>
      <c r="AE215" s="34">
        <v>2005.6317979999999</v>
      </c>
      <c r="AF215" s="34">
        <v>2236.1978119999999</v>
      </c>
      <c r="AG215" s="34">
        <v>2364.5253830000001</v>
      </c>
      <c r="AH215" s="34">
        <v>2575.0693019999999</v>
      </c>
      <c r="AI215" s="34">
        <v>2650.1111430000001</v>
      </c>
      <c r="AJ215" s="34">
        <v>2678.509305</v>
      </c>
      <c r="AK215" s="34">
        <v>2924.8299969999998</v>
      </c>
      <c r="AL215" s="34">
        <v>3069.8247769999998</v>
      </c>
      <c r="AM215" s="34">
        <v>3223.229718</v>
      </c>
      <c r="AN215" s="34">
        <v>3465.6239249999999</v>
      </c>
      <c r="AO215" s="34">
        <v>3625.720503</v>
      </c>
      <c r="AP215" s="34">
        <v>3676.3520920000001</v>
      </c>
      <c r="AQ215" s="34">
        <v>3985.8076129999999</v>
      </c>
      <c r="AR215" s="34">
        <v>4272.9560590000001</v>
      </c>
      <c r="AS215" s="34">
        <v>4447.9183119999998</v>
      </c>
      <c r="AT215" s="34">
        <v>4809.9343349999999</v>
      </c>
      <c r="AU215" s="34">
        <v>5070.3815210000002</v>
      </c>
      <c r="AV215" s="34">
        <v>5625.399437</v>
      </c>
      <c r="AW215" s="34">
        <v>6307.3136169999998</v>
      </c>
      <c r="AX215" s="34">
        <v>6415.3433050000003</v>
      </c>
      <c r="AY215" s="34">
        <v>6232.3716420000001</v>
      </c>
      <c r="AZ215" s="34">
        <v>6292.4988540000004</v>
      </c>
      <c r="BA215" s="34">
        <v>6242.2529619999996</v>
      </c>
      <c r="BB215" s="34">
        <v>6390.3106319999997</v>
      </c>
      <c r="BC215" s="34">
        <v>6639.48489659198</v>
      </c>
      <c r="BD215" s="34">
        <v>6684.377547</v>
      </c>
      <c r="BE215" s="34">
        <v>6921.7024789999996</v>
      </c>
      <c r="BF215" s="34">
        <v>7074.5487649999995</v>
      </c>
      <c r="BG215" s="34">
        <v>7213.0258569999996</v>
      </c>
      <c r="BH215" s="34">
        <v>7361.4009619999997</v>
      </c>
      <c r="BI215" s="34">
        <v>7460.153362</v>
      </c>
      <c r="BJ215" s="34">
        <v>7278.0162970000001</v>
      </c>
    </row>
    <row r="216" spans="1:62">
      <c r="A216" s="1" t="s">
        <v>1162</v>
      </c>
      <c r="B216" s="34">
        <v>955.44641809999996</v>
      </c>
      <c r="C216" s="34">
        <v>970.35639839999999</v>
      </c>
      <c r="D216" s="34">
        <v>1023.355237</v>
      </c>
      <c r="E216" s="34">
        <v>1077.403051</v>
      </c>
      <c r="F216" s="34">
        <v>864.47122109999998</v>
      </c>
      <c r="G216" s="34">
        <v>869.53502249999997</v>
      </c>
      <c r="H216" s="34">
        <v>876.15392640000005</v>
      </c>
      <c r="I216" s="34">
        <v>892.87946480000005</v>
      </c>
      <c r="J216" s="34">
        <v>937.59867120000001</v>
      </c>
      <c r="K216" s="34">
        <v>930.92621229999997</v>
      </c>
      <c r="L216" s="34">
        <v>1014.453263</v>
      </c>
      <c r="M216" s="34">
        <v>1105.622678</v>
      </c>
      <c r="N216" s="34">
        <v>1155.404076</v>
      </c>
      <c r="O216" s="34">
        <v>1367.912274</v>
      </c>
      <c r="P216" s="34">
        <v>2036.4378489999999</v>
      </c>
      <c r="Q216" s="34">
        <v>2082.310039</v>
      </c>
      <c r="R216" s="34">
        <v>2314.9903279999999</v>
      </c>
      <c r="S216" s="34">
        <v>2593.0764880000002</v>
      </c>
      <c r="T216" s="34">
        <v>2737.001671</v>
      </c>
      <c r="U216" s="34">
        <v>3270.6009859999999</v>
      </c>
      <c r="V216" s="34">
        <v>3893.6973459999999</v>
      </c>
      <c r="W216" s="34">
        <v>4252.3375210000004</v>
      </c>
      <c r="X216" s="34">
        <v>4228.9026480000002</v>
      </c>
      <c r="Y216" s="34">
        <v>4108.481006</v>
      </c>
      <c r="Z216" s="34">
        <v>3555.8062329999998</v>
      </c>
      <c r="AA216" s="34">
        <v>3577.7834320000002</v>
      </c>
      <c r="AB216" s="34">
        <v>3398.1321710000002</v>
      </c>
      <c r="AC216" s="34">
        <v>2634.2202499999999</v>
      </c>
      <c r="AD216" s="34">
        <v>3220.8619140000001</v>
      </c>
      <c r="AE216" s="34">
        <v>2270.9577989999998</v>
      </c>
      <c r="AF216" s="34">
        <v>2475.3804730000002</v>
      </c>
      <c r="AG216" s="34">
        <v>2661.0338510000001</v>
      </c>
      <c r="AH216" s="34">
        <v>2938.1601970000002</v>
      </c>
      <c r="AI216" s="34">
        <v>2857.9386599999998</v>
      </c>
      <c r="AJ216" s="34">
        <v>2720.3670630000001</v>
      </c>
      <c r="AK216" s="34">
        <v>3529.5891280000001</v>
      </c>
      <c r="AL216" s="34">
        <v>3151.2692780000002</v>
      </c>
      <c r="AM216" s="34">
        <v>3758.8449340000002</v>
      </c>
      <c r="AN216" s="34">
        <v>3921.7184739999998</v>
      </c>
      <c r="AO216" s="34">
        <v>4127.1089810000003</v>
      </c>
      <c r="AP216" s="34">
        <v>4842.0366009999998</v>
      </c>
      <c r="AQ216" s="34">
        <v>4986.6757879999996</v>
      </c>
      <c r="AR216" s="34">
        <v>3700.8797399999999</v>
      </c>
      <c r="AS216" s="34">
        <v>3272.6150240000002</v>
      </c>
      <c r="AT216" s="34">
        <v>4325.6967560000003</v>
      </c>
      <c r="AU216" s="34">
        <v>5504.9772400000002</v>
      </c>
      <c r="AV216" s="34">
        <v>6833.3789120000001</v>
      </c>
      <c r="AW216" s="34">
        <v>8454.4695360000005</v>
      </c>
      <c r="AX216" s="34">
        <v>11432.745919999999</v>
      </c>
      <c r="AY216" s="34">
        <v>11765.099759999999</v>
      </c>
      <c r="AZ216" s="34">
        <v>13825.357120000001</v>
      </c>
      <c r="BA216" s="34">
        <v>10955.53801</v>
      </c>
      <c r="BB216" s="34">
        <v>12986.222690000001</v>
      </c>
      <c r="BC216" s="34">
        <v>12457.7686017666</v>
      </c>
      <c r="BD216" s="34">
        <v>16055.64532</v>
      </c>
      <c r="BE216" s="34">
        <v>0</v>
      </c>
      <c r="BF216" s="34">
        <v>0</v>
      </c>
      <c r="BG216" s="34">
        <v>0</v>
      </c>
      <c r="BH216" s="34">
        <v>0</v>
      </c>
      <c r="BI216" s="34">
        <v>0</v>
      </c>
      <c r="BJ216" s="34">
        <v>0</v>
      </c>
    </row>
    <row r="217" spans="1:62">
      <c r="A217" s="1" t="s">
        <v>1206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  <c r="N217" s="34">
        <v>0</v>
      </c>
      <c r="O217" s="34">
        <v>0</v>
      </c>
      <c r="P217" s="34">
        <v>0</v>
      </c>
      <c r="Q217" s="34">
        <v>0</v>
      </c>
      <c r="R217" s="34">
        <v>0</v>
      </c>
      <c r="S217" s="34">
        <v>0</v>
      </c>
      <c r="T217" s="34">
        <v>0</v>
      </c>
      <c r="U217" s="34">
        <v>0</v>
      </c>
      <c r="V217" s="34">
        <v>0</v>
      </c>
      <c r="W217" s="34">
        <v>0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4">
        <v>0</v>
      </c>
      <c r="AU217" s="34">
        <v>0</v>
      </c>
      <c r="AV217" s="34">
        <v>0</v>
      </c>
      <c r="AW217" s="34">
        <v>0</v>
      </c>
      <c r="AX217" s="34">
        <v>0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4">
        <v>0</v>
      </c>
      <c r="BE217" s="34">
        <v>0</v>
      </c>
      <c r="BF217" s="34">
        <v>0</v>
      </c>
      <c r="BG217" s="34">
        <v>0</v>
      </c>
      <c r="BH217" s="34">
        <v>0</v>
      </c>
      <c r="BI217" s="34">
        <v>0</v>
      </c>
      <c r="BJ217" s="34">
        <v>0</v>
      </c>
    </row>
    <row r="218" spans="1:62">
      <c r="A218" s="1" t="s">
        <v>1207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  <c r="N218" s="34">
        <v>0</v>
      </c>
      <c r="O218" s="34">
        <v>0</v>
      </c>
      <c r="P218" s="34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30062.022509999999</v>
      </c>
      <c r="AS218" s="34">
        <v>31731.25662</v>
      </c>
      <c r="AT218" s="34">
        <v>35006.361440000001</v>
      </c>
      <c r="AU218" s="34">
        <v>40828.746090000001</v>
      </c>
      <c r="AV218" s="34">
        <v>41377.1466</v>
      </c>
      <c r="AW218" s="34">
        <v>44158.505400000002</v>
      </c>
      <c r="AX218" s="34">
        <v>39152.375070000002</v>
      </c>
      <c r="AY218" s="34">
        <v>38753.182540000002</v>
      </c>
      <c r="AZ218" s="34">
        <v>39905.128420000001</v>
      </c>
      <c r="BA218" s="34">
        <v>38997.137320000002</v>
      </c>
      <c r="BB218" s="34">
        <v>37795.319259999997</v>
      </c>
      <c r="BC218" s="34">
        <v>34597.976694032797</v>
      </c>
      <c r="BD218" s="34">
        <v>33045.364379999999</v>
      </c>
      <c r="BE218" s="34">
        <v>34007.352939999997</v>
      </c>
      <c r="BF218" s="34">
        <v>35324.974889999998</v>
      </c>
      <c r="BG218" s="34">
        <v>35365.069300000003</v>
      </c>
      <c r="BH218" s="34">
        <v>36448.257490000004</v>
      </c>
      <c r="BI218" s="34">
        <v>38136.665760000004</v>
      </c>
      <c r="BJ218" s="34">
        <v>0</v>
      </c>
    </row>
    <row r="219" spans="1:62">
      <c r="A219" s="1" t="s">
        <v>1116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  <c r="N219" s="34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4">
        <v>0</v>
      </c>
      <c r="W219" s="34">
        <v>0</v>
      </c>
      <c r="X219" s="34">
        <v>0</v>
      </c>
      <c r="Y219" s="34">
        <v>0</v>
      </c>
      <c r="Z219" s="34">
        <v>0</v>
      </c>
      <c r="AA219" s="34">
        <v>231.4522858</v>
      </c>
      <c r="AB219" s="34">
        <v>422.78029770000001</v>
      </c>
      <c r="AC219" s="34">
        <v>575.46268269999996</v>
      </c>
      <c r="AD219" s="34">
        <v>390.41222340000002</v>
      </c>
      <c r="AE219" s="34">
        <v>94.564735240000005</v>
      </c>
      <c r="AF219" s="34">
        <v>95.188259979999998</v>
      </c>
      <c r="AG219" s="34">
        <v>138.44745040000001</v>
      </c>
      <c r="AH219" s="34">
        <v>139.2001228</v>
      </c>
      <c r="AI219" s="34">
        <v>182.30840180000001</v>
      </c>
      <c r="AJ219" s="34">
        <v>221.12917519999999</v>
      </c>
      <c r="AK219" s="34">
        <v>276.8126628</v>
      </c>
      <c r="AL219" s="34">
        <v>324.14722389999997</v>
      </c>
      <c r="AM219" s="34">
        <v>348.01740710000001</v>
      </c>
      <c r="AN219" s="34">
        <v>348.32431730000002</v>
      </c>
      <c r="AO219" s="34">
        <v>362.91950279999998</v>
      </c>
      <c r="AP219" s="34">
        <v>390.09333090000001</v>
      </c>
      <c r="AQ219" s="34">
        <v>404.80786119999999</v>
      </c>
      <c r="AR219" s="34">
        <v>430.05287240000001</v>
      </c>
      <c r="AS219" s="34">
        <v>480.57983430000002</v>
      </c>
      <c r="AT219" s="34">
        <v>546.90961900000002</v>
      </c>
      <c r="AU219" s="34">
        <v>687.4797274</v>
      </c>
      <c r="AV219" s="34">
        <v>784.37237589999995</v>
      </c>
      <c r="AW219" s="34">
        <v>906.28422990000001</v>
      </c>
      <c r="AX219" s="34">
        <v>1149.424495</v>
      </c>
      <c r="AY219" s="34">
        <v>1217.268583</v>
      </c>
      <c r="AZ219" s="34">
        <v>1317.8906460000001</v>
      </c>
      <c r="BA219" s="34">
        <v>1525.119025</v>
      </c>
      <c r="BB219" s="34">
        <v>1735.152116</v>
      </c>
      <c r="BC219" s="34">
        <v>1886.69017002501</v>
      </c>
      <c r="BD219" s="34">
        <v>2030.2784469999999</v>
      </c>
      <c r="BE219" s="34">
        <v>2085.101349</v>
      </c>
      <c r="BF219" s="34">
        <v>2192.1744819999999</v>
      </c>
      <c r="BG219" s="34">
        <v>2365.5216150000001</v>
      </c>
      <c r="BH219" s="34">
        <v>2566.4474869999999</v>
      </c>
      <c r="BI219" s="34">
        <v>2715.2759799999999</v>
      </c>
      <c r="BJ219" s="34">
        <v>2785.7241610000001</v>
      </c>
    </row>
    <row r="220" spans="1:62">
      <c r="A220" s="1" t="s">
        <v>1161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1059.6735060000001</v>
      </c>
      <c r="V220" s="34">
        <v>1048.3355899999999</v>
      </c>
      <c r="W220" s="34">
        <v>959.81134599999996</v>
      </c>
      <c r="X220" s="34">
        <v>943.19438969999999</v>
      </c>
      <c r="Y220" s="34">
        <v>945.06657270000005</v>
      </c>
      <c r="Z220" s="34">
        <v>1137.1382779999999</v>
      </c>
      <c r="AA220" s="34">
        <v>1014.36599</v>
      </c>
      <c r="AB220" s="34">
        <v>951.20563760000005</v>
      </c>
      <c r="AC220" s="34">
        <v>1024.9066580000001</v>
      </c>
      <c r="AD220" s="34">
        <v>1136.609999</v>
      </c>
      <c r="AE220" s="34">
        <v>1078.5162720000001</v>
      </c>
      <c r="AF220" s="34">
        <v>1152.1692459999999</v>
      </c>
      <c r="AG220" s="34">
        <v>1335.8336039999999</v>
      </c>
      <c r="AH220" s="34">
        <v>1347.4301740000001</v>
      </c>
      <c r="AI220" s="34">
        <v>1255.0900710000001</v>
      </c>
      <c r="AJ220" s="34">
        <v>1423.896602</v>
      </c>
      <c r="AK220" s="34">
        <v>1482.7055620000001</v>
      </c>
      <c r="AL220" s="34">
        <v>1522.0622080000001</v>
      </c>
      <c r="AM220" s="34">
        <v>1559.4322400000001</v>
      </c>
      <c r="AN220" s="34">
        <v>1473.6661140000001</v>
      </c>
      <c r="AO220" s="34">
        <v>1478.58574</v>
      </c>
      <c r="AP220" s="34">
        <v>1470.6358700000001</v>
      </c>
      <c r="AQ220" s="34">
        <v>1363.185058</v>
      </c>
      <c r="AR220" s="34">
        <v>1354.1002430000001</v>
      </c>
      <c r="AS220" s="34">
        <v>1580.575634</v>
      </c>
      <c r="AT220" s="34">
        <v>1788.122206</v>
      </c>
      <c r="AU220" s="34">
        <v>1887.226576</v>
      </c>
      <c r="AV220" s="34">
        <v>2049.5328089999998</v>
      </c>
      <c r="AW220" s="34">
        <v>2352.9732549999999</v>
      </c>
      <c r="AX220" s="34">
        <v>2629.053124</v>
      </c>
      <c r="AY220" s="34">
        <v>2573.8890150000002</v>
      </c>
      <c r="AZ220" s="34">
        <v>2839.40634</v>
      </c>
      <c r="BA220" s="34">
        <v>3173.8220219999998</v>
      </c>
      <c r="BB220" s="34">
        <v>2997.2934319999999</v>
      </c>
      <c r="BC220" s="34">
        <v>2954.7745112565199</v>
      </c>
      <c r="BD220" s="34">
        <v>2926.6799599999999</v>
      </c>
      <c r="BE220" s="34">
        <v>2695.6661859999999</v>
      </c>
      <c r="BF220" s="34">
        <v>2805.6653200000001</v>
      </c>
      <c r="BG220" s="34">
        <v>3082.4750829999998</v>
      </c>
      <c r="BH220" s="34">
        <v>3125.4049989999999</v>
      </c>
      <c r="BI220" s="34">
        <v>3116.297759</v>
      </c>
      <c r="BJ220" s="34">
        <v>2870.0893000000001</v>
      </c>
    </row>
    <row r="221" spans="1:62">
      <c r="A221" s="1" t="s">
        <v>1208</v>
      </c>
      <c r="B221" s="34">
        <v>457.73401380000001</v>
      </c>
      <c r="C221" s="34">
        <v>470.2714282</v>
      </c>
      <c r="D221" s="34">
        <v>494.82476659999998</v>
      </c>
      <c r="E221" s="34">
        <v>522.57871929999999</v>
      </c>
      <c r="F221" s="34">
        <v>560.71493320000002</v>
      </c>
      <c r="G221" s="34">
        <v>598.53224820000003</v>
      </c>
      <c r="H221" s="34">
        <v>636.1796478</v>
      </c>
      <c r="I221" s="34">
        <v>663.30908720000002</v>
      </c>
      <c r="J221" s="34">
        <v>701.46899289999999</v>
      </c>
      <c r="K221" s="34">
        <v>757.89176480000003</v>
      </c>
      <c r="L221" s="34">
        <v>811.65955280000003</v>
      </c>
      <c r="M221" s="34">
        <v>877.81993790000001</v>
      </c>
      <c r="N221" s="34">
        <v>991.92752350000001</v>
      </c>
      <c r="O221" s="34">
        <v>1186.5732009999999</v>
      </c>
      <c r="P221" s="34">
        <v>1341.8049920000001</v>
      </c>
      <c r="Q221" s="34">
        <v>1467.4729609999999</v>
      </c>
      <c r="R221" s="34">
        <v>1567.3251740000001</v>
      </c>
      <c r="S221" s="34">
        <v>1742.2622200000001</v>
      </c>
      <c r="T221" s="34">
        <v>2016.6268480000001</v>
      </c>
      <c r="U221" s="34">
        <v>2301.7797019999998</v>
      </c>
      <c r="V221" s="34">
        <v>2550.2776819999999</v>
      </c>
      <c r="W221" s="34">
        <v>2592.6068730000002</v>
      </c>
      <c r="X221" s="34">
        <v>2521.4067669999999</v>
      </c>
      <c r="Y221" s="34">
        <v>2525.863413</v>
      </c>
      <c r="Z221" s="34">
        <v>2573.1818560000002</v>
      </c>
      <c r="AA221" s="34">
        <v>2659.80861</v>
      </c>
      <c r="AB221" s="34">
        <v>3090.3626129999998</v>
      </c>
      <c r="AC221" s="34">
        <v>3456.0701880000001</v>
      </c>
      <c r="AD221" s="34">
        <v>3792.761027</v>
      </c>
      <c r="AE221" s="34">
        <v>3882.0884970000002</v>
      </c>
      <c r="AF221" s="34">
        <v>4302.4517949999999</v>
      </c>
      <c r="AG221" s="34">
        <v>4415.7095909999998</v>
      </c>
      <c r="AH221" s="34">
        <v>4661.109426</v>
      </c>
      <c r="AI221" s="34">
        <v>4670.7136399999999</v>
      </c>
      <c r="AJ221" s="34">
        <v>4969.3695090000001</v>
      </c>
      <c r="AK221" s="34">
        <v>5455.3092319999996</v>
      </c>
      <c r="AL221" s="34">
        <v>5500.9378550000001</v>
      </c>
      <c r="AM221" s="34">
        <v>5409.8947790000002</v>
      </c>
      <c r="AN221" s="34">
        <v>5332.2650100000001</v>
      </c>
      <c r="AO221" s="34">
        <v>5473.6818499999999</v>
      </c>
      <c r="AP221" s="34">
        <v>5589.9210659999999</v>
      </c>
      <c r="AQ221" s="34">
        <v>5498.4877299999998</v>
      </c>
      <c r="AR221" s="34">
        <v>5669.1032439999999</v>
      </c>
      <c r="AS221" s="34">
        <v>6326.5091430000002</v>
      </c>
      <c r="AT221" s="34">
        <v>7077.1266489999998</v>
      </c>
      <c r="AU221" s="34">
        <v>7620.5690889999996</v>
      </c>
      <c r="AV221" s="34">
        <v>8225.4548290000002</v>
      </c>
      <c r="AW221" s="34">
        <v>9265.0106799999994</v>
      </c>
      <c r="AX221" s="34">
        <v>10193.514230000001</v>
      </c>
      <c r="AY221" s="34">
        <v>9691.7757390000006</v>
      </c>
      <c r="AZ221" s="34">
        <v>10548.85534</v>
      </c>
      <c r="BA221" s="34">
        <v>11635.57825</v>
      </c>
      <c r="BB221" s="34">
        <v>10629.61016</v>
      </c>
      <c r="BC221" s="34">
        <v>10790.5281944743</v>
      </c>
      <c r="BD221" s="34">
        <v>10951.911099999999</v>
      </c>
      <c r="BE221" s="34">
        <v>10221.026959999999</v>
      </c>
      <c r="BF221" s="34">
        <v>10263.44052</v>
      </c>
      <c r="BG221" s="34">
        <v>10796.63452</v>
      </c>
      <c r="BH221" s="34">
        <v>11345.180350000001</v>
      </c>
      <c r="BI221" s="34">
        <v>11395.41099</v>
      </c>
      <c r="BJ221" s="34">
        <v>10910.083619999999</v>
      </c>
    </row>
    <row r="222" spans="1:62">
      <c r="A222" s="1" t="s">
        <v>1140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  <c r="N222" s="34">
        <v>0</v>
      </c>
      <c r="O222" s="34">
        <v>0</v>
      </c>
      <c r="P222" s="34">
        <v>0</v>
      </c>
      <c r="Q222" s="34">
        <v>0</v>
      </c>
      <c r="R222" s="34">
        <v>0</v>
      </c>
      <c r="S222" s="34">
        <v>0</v>
      </c>
      <c r="T222" s="34">
        <v>0</v>
      </c>
      <c r="U222" s="34">
        <v>0</v>
      </c>
      <c r="V222" s="34">
        <v>0</v>
      </c>
      <c r="W222" s="34">
        <v>0</v>
      </c>
      <c r="X222" s="34">
        <v>770.32155569999998</v>
      </c>
      <c r="Y222" s="34">
        <v>706.44998940000005</v>
      </c>
      <c r="Z222" s="34">
        <v>685.75029559999996</v>
      </c>
      <c r="AA222" s="34">
        <v>597.34474820000003</v>
      </c>
      <c r="AB222" s="34">
        <v>628.75484979999999</v>
      </c>
      <c r="AC222" s="34">
        <v>694.03910329999997</v>
      </c>
      <c r="AD222" s="34">
        <v>824.29751329999999</v>
      </c>
      <c r="AE222" s="34">
        <v>758.87615229999994</v>
      </c>
      <c r="AF222" s="34">
        <v>772.53432039999996</v>
      </c>
      <c r="AG222" s="34">
        <v>765.83661840000002</v>
      </c>
      <c r="AH222" s="34">
        <v>799.46245309999995</v>
      </c>
      <c r="AI222" s="34">
        <v>796.58501049999995</v>
      </c>
      <c r="AJ222" s="34">
        <v>1310.68479</v>
      </c>
      <c r="AK222" s="34">
        <v>1322.35067</v>
      </c>
      <c r="AL222" s="34">
        <v>1460.047151</v>
      </c>
      <c r="AM222" s="34">
        <v>1659.114822</v>
      </c>
      <c r="AN222" s="34">
        <v>1559.147665</v>
      </c>
      <c r="AO222" s="34">
        <v>1490.9263880000001</v>
      </c>
      <c r="AP222" s="34">
        <v>1542.066736</v>
      </c>
      <c r="AQ222" s="34">
        <v>1556.999425</v>
      </c>
      <c r="AR222" s="34">
        <v>1633.0076610000001</v>
      </c>
      <c r="AS222" s="34">
        <v>1909.1544409999999</v>
      </c>
      <c r="AT222" s="34">
        <v>2353.4559730000001</v>
      </c>
      <c r="AU222" s="34">
        <v>2590.4898579999999</v>
      </c>
      <c r="AV222" s="34">
        <v>2796.601169</v>
      </c>
      <c r="AW222" s="34">
        <v>3133.671327</v>
      </c>
      <c r="AX222" s="34">
        <v>3378.9530289999998</v>
      </c>
      <c r="AY222" s="34">
        <v>3168.2282070000001</v>
      </c>
      <c r="AZ222" s="34">
        <v>3566.4283599999999</v>
      </c>
      <c r="BA222" s="34">
        <v>3932.1058469999998</v>
      </c>
      <c r="BB222" s="34">
        <v>4020.959844</v>
      </c>
      <c r="BC222" s="34">
        <v>4037.8138290513298</v>
      </c>
      <c r="BD222" s="34">
        <v>3937.1862460000002</v>
      </c>
      <c r="BE222" s="34">
        <v>4071.9269589999999</v>
      </c>
      <c r="BF222" s="34">
        <v>4109.6632280000003</v>
      </c>
      <c r="BG222" s="34">
        <v>4258.9787669999996</v>
      </c>
      <c r="BH222" s="34">
        <v>4187.5047290000002</v>
      </c>
      <c r="BI222" s="34">
        <v>4322.8684569999996</v>
      </c>
      <c r="BJ222" s="34">
        <v>4067.8434590000002</v>
      </c>
    </row>
    <row r="223" spans="1:62">
      <c r="A223" s="1" t="s">
        <v>1105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34">
        <v>0</v>
      </c>
      <c r="S223" s="34">
        <v>0</v>
      </c>
      <c r="T223" s="34">
        <v>0</v>
      </c>
      <c r="U223" s="34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34">
        <v>0</v>
      </c>
      <c r="AG223" s="34">
        <v>0</v>
      </c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0</v>
      </c>
      <c r="AT223" s="34">
        <v>0</v>
      </c>
      <c r="AU223" s="34">
        <v>0</v>
      </c>
      <c r="AV223" s="34">
        <v>0</v>
      </c>
      <c r="AW223" s="34">
        <v>0</v>
      </c>
      <c r="AX223" s="34">
        <v>2965.4499150000001</v>
      </c>
      <c r="AY223" s="34">
        <v>2847.555339</v>
      </c>
      <c r="AZ223" s="34">
        <v>3009.559334</v>
      </c>
      <c r="BA223" s="34">
        <v>3540.8917889999998</v>
      </c>
      <c r="BB223" s="34">
        <v>3410.8597799999998</v>
      </c>
      <c r="BC223" s="34">
        <v>3704.7842205966499</v>
      </c>
      <c r="BD223" s="34">
        <v>3902.6760129999998</v>
      </c>
      <c r="BE223" s="34">
        <v>3520.7664490000002</v>
      </c>
      <c r="BF223" s="34">
        <v>3759.560246</v>
      </c>
      <c r="BG223" s="34">
        <v>4009.380987</v>
      </c>
      <c r="BH223" s="34">
        <v>4384.0488919999998</v>
      </c>
      <c r="BI223" s="34">
        <v>4416.1083580000004</v>
      </c>
      <c r="BJ223" s="34">
        <v>4346.6379310000002</v>
      </c>
    </row>
    <row r="224" spans="1:62">
      <c r="A224" s="1" t="s">
        <v>1163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  <c r="N224" s="34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4">
        <v>0</v>
      </c>
      <c r="U224" s="34">
        <v>0</v>
      </c>
      <c r="V224" s="34">
        <v>0</v>
      </c>
      <c r="W224" s="34">
        <v>0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0</v>
      </c>
      <c r="AD224" s="34">
        <v>0</v>
      </c>
      <c r="AE224" s="34">
        <v>0</v>
      </c>
      <c r="AF224" s="34">
        <v>482.24812109999999</v>
      </c>
      <c r="AG224" s="34">
        <v>482.06057129999999</v>
      </c>
      <c r="AH224" s="34">
        <v>498.96338179999998</v>
      </c>
      <c r="AI224" s="34">
        <v>393.73905880000001</v>
      </c>
      <c r="AJ224" s="34">
        <v>291.47207100000003</v>
      </c>
      <c r="AK224" s="34">
        <v>285.56959310000002</v>
      </c>
      <c r="AL224" s="34">
        <v>374.01143139999999</v>
      </c>
      <c r="AM224" s="34">
        <v>428.0605956</v>
      </c>
      <c r="AN224" s="34">
        <v>384.49994040000001</v>
      </c>
      <c r="AO224" s="34">
        <v>451.5709253</v>
      </c>
      <c r="AP224" s="34">
        <v>554.44866530000002</v>
      </c>
      <c r="AQ224" s="34">
        <v>550.36036449999995</v>
      </c>
      <c r="AR224" s="34">
        <v>579.85314059999996</v>
      </c>
      <c r="AS224" s="34">
        <v>620.38272600000005</v>
      </c>
      <c r="AT224" s="34">
        <v>709.96537880000005</v>
      </c>
      <c r="AU224" s="34">
        <v>832.84419869999999</v>
      </c>
      <c r="AV224" s="34">
        <v>921.41835490000005</v>
      </c>
      <c r="AW224" s="34">
        <v>1017.292048</v>
      </c>
      <c r="AX224" s="34">
        <v>1229.2466750000001</v>
      </c>
      <c r="AY224" s="34">
        <v>1116.084396</v>
      </c>
      <c r="AZ224" s="34">
        <v>1334.7849020000001</v>
      </c>
      <c r="BA224" s="34">
        <v>1374.6214010000001</v>
      </c>
      <c r="BB224" s="34">
        <v>1446.536472</v>
      </c>
      <c r="BC224" s="34">
        <v>1607.1521732589799</v>
      </c>
      <c r="BD224" s="34">
        <v>1674.0025720000001</v>
      </c>
      <c r="BE224" s="34">
        <v>1601.8300630000001</v>
      </c>
      <c r="BF224" s="34">
        <v>1152.7209660000001</v>
      </c>
      <c r="BG224" s="34">
        <v>964.26481049999995</v>
      </c>
      <c r="BH224" s="34">
        <v>758.14524159999996</v>
      </c>
      <c r="BI224" s="34">
        <v>0</v>
      </c>
      <c r="BJ224" s="34">
        <v>0</v>
      </c>
    </row>
    <row r="225" spans="1:62">
      <c r="A225" s="1" t="s">
        <v>1094</v>
      </c>
      <c r="B225" s="34">
        <v>443.00991970000001</v>
      </c>
      <c r="C225" s="34">
        <v>454.9620132</v>
      </c>
      <c r="D225" s="34">
        <v>473.01140479999998</v>
      </c>
      <c r="E225" s="34">
        <v>511.49736360000003</v>
      </c>
      <c r="F225" s="34">
        <v>548.99605780000002</v>
      </c>
      <c r="G225" s="34">
        <v>584.70416269999998</v>
      </c>
      <c r="H225" s="34">
        <v>621.2205434</v>
      </c>
      <c r="I225" s="34">
        <v>675.13534509999999</v>
      </c>
      <c r="J225" s="34">
        <v>711.22574239999994</v>
      </c>
      <c r="K225" s="34">
        <v>780.62591870000006</v>
      </c>
      <c r="L225" s="34">
        <v>834.55250290000004</v>
      </c>
      <c r="M225" s="34">
        <v>897.13009380000005</v>
      </c>
      <c r="N225" s="34">
        <v>917.35585479999997</v>
      </c>
      <c r="O225" s="34">
        <v>1225.0894679999999</v>
      </c>
      <c r="P225" s="34">
        <v>1499.1410679999999</v>
      </c>
      <c r="Q225" s="34">
        <v>1512.7709649999999</v>
      </c>
      <c r="R225" s="34">
        <v>1416.7088209999999</v>
      </c>
      <c r="S225" s="34">
        <v>1535.1187809999999</v>
      </c>
      <c r="T225" s="34">
        <v>1722.2266299999999</v>
      </c>
      <c r="U225" s="34">
        <v>2071.5509310000002</v>
      </c>
      <c r="V225" s="34">
        <v>2905.8076409999999</v>
      </c>
      <c r="W225" s="34">
        <v>2913.2425509999998</v>
      </c>
      <c r="X225" s="34">
        <v>2601.0578609999998</v>
      </c>
      <c r="Y225" s="34">
        <v>2820.4337169999999</v>
      </c>
      <c r="Z225" s="34">
        <v>2429.0275000000001</v>
      </c>
      <c r="AA225" s="34">
        <v>1807.9764680000001</v>
      </c>
      <c r="AB225" s="34">
        <v>2015.8135669999999</v>
      </c>
      <c r="AC225" s="34">
        <v>2582.4946719999998</v>
      </c>
      <c r="AD225" s="34">
        <v>2711.5153</v>
      </c>
      <c r="AE225" s="34">
        <v>2756.2121480000001</v>
      </c>
      <c r="AF225" s="34">
        <v>3139.9662250000001</v>
      </c>
      <c r="AG225" s="34">
        <v>3285.9723260000001</v>
      </c>
      <c r="AH225" s="34">
        <v>3479.0832049999999</v>
      </c>
      <c r="AI225" s="34">
        <v>3713.921206</v>
      </c>
      <c r="AJ225" s="34">
        <v>3784.4491440000002</v>
      </c>
      <c r="AK225" s="34">
        <v>4144.6137230000004</v>
      </c>
      <c r="AL225" s="34">
        <v>3864.4151120000001</v>
      </c>
      <c r="AM225" s="34">
        <v>3930.8365640000002</v>
      </c>
      <c r="AN225" s="34">
        <v>3502.1664470000001</v>
      </c>
      <c r="AO225" s="34">
        <v>3417.2645889999999</v>
      </c>
      <c r="AP225" s="34">
        <v>3374.7184229999998</v>
      </c>
      <c r="AQ225" s="34">
        <v>2971.8197690000002</v>
      </c>
      <c r="AR225" s="34">
        <v>2797.0872909999998</v>
      </c>
      <c r="AS225" s="34">
        <v>4217.1147799999999</v>
      </c>
      <c r="AT225" s="34">
        <v>5409.1334889999998</v>
      </c>
      <c r="AU225" s="34">
        <v>6033.1014910000004</v>
      </c>
      <c r="AV225" s="34">
        <v>6266.5339869999998</v>
      </c>
      <c r="AW225" s="34">
        <v>6780.8845549999996</v>
      </c>
      <c r="AX225" s="34">
        <v>6350.6527100000003</v>
      </c>
      <c r="AY225" s="34">
        <v>6532.7369680000002</v>
      </c>
      <c r="AZ225" s="34">
        <v>8148.9612020000004</v>
      </c>
      <c r="BA225" s="34">
        <v>8810.9306510000006</v>
      </c>
      <c r="BB225" s="34">
        <v>8222.197279</v>
      </c>
      <c r="BC225" s="34">
        <v>7467.0791851039403</v>
      </c>
      <c r="BD225" s="34">
        <v>6988.8087390000001</v>
      </c>
      <c r="BE225" s="34">
        <v>6259.8396810000004</v>
      </c>
      <c r="BF225" s="34">
        <v>5756.965741</v>
      </c>
      <c r="BG225" s="34">
        <v>6690.9398469999996</v>
      </c>
      <c r="BH225" s="34">
        <v>7005.095413</v>
      </c>
      <c r="BI225" s="34">
        <v>6624.7618650000004</v>
      </c>
      <c r="BJ225" s="34">
        <v>5655.8676539999997</v>
      </c>
    </row>
    <row r="226" spans="1:62">
      <c r="A226" s="1" t="s">
        <v>1120</v>
      </c>
      <c r="B226" s="34">
        <v>232.18856450000001</v>
      </c>
      <c r="C226" s="34">
        <v>220.0420671</v>
      </c>
      <c r="D226" s="34">
        <v>212.5784491</v>
      </c>
      <c r="E226" s="34">
        <v>213.89675890000001</v>
      </c>
      <c r="F226" s="34">
        <v>242.38447249999999</v>
      </c>
      <c r="G226" s="34">
        <v>303.28174050000001</v>
      </c>
      <c r="H226" s="34">
        <v>343.37367</v>
      </c>
      <c r="I226" s="34">
        <v>360.20123869999998</v>
      </c>
      <c r="J226" s="34">
        <v>409.77534930000002</v>
      </c>
      <c r="K226" s="34">
        <v>485.87261799999999</v>
      </c>
      <c r="L226" s="34">
        <v>436.76923540000001</v>
      </c>
      <c r="M226" s="34">
        <v>390.57923799999998</v>
      </c>
      <c r="N226" s="34">
        <v>427.81942600000002</v>
      </c>
      <c r="O226" s="34">
        <v>491.11164009999999</v>
      </c>
      <c r="P226" s="34">
        <v>653.27869099999998</v>
      </c>
      <c r="Q226" s="34">
        <v>529.74284209999996</v>
      </c>
      <c r="R226" s="34">
        <v>537.22068720000004</v>
      </c>
      <c r="S226" s="34">
        <v>469.594201</v>
      </c>
      <c r="T226" s="34">
        <v>514.49190680000004</v>
      </c>
      <c r="U226" s="34">
        <v>587.944616</v>
      </c>
      <c r="V226" s="34">
        <v>654.41201349999994</v>
      </c>
      <c r="W226" s="34">
        <v>639.54348330000005</v>
      </c>
      <c r="X226" s="34">
        <v>637.54569040000001</v>
      </c>
      <c r="Y226" s="34">
        <v>496.1977536</v>
      </c>
      <c r="Z226" s="34">
        <v>408.77792010000002</v>
      </c>
      <c r="AA226" s="34">
        <v>329.51167079999999</v>
      </c>
      <c r="AB226" s="34">
        <v>232.53908730000001</v>
      </c>
      <c r="AC226" s="34">
        <v>307.87271609999999</v>
      </c>
      <c r="AD226" s="34">
        <v>488.74473499999999</v>
      </c>
      <c r="AE226" s="34">
        <v>511.32172989999998</v>
      </c>
      <c r="AF226" s="34">
        <v>408.76933129999998</v>
      </c>
      <c r="AG226" s="34">
        <v>409.72727550000002</v>
      </c>
      <c r="AH226" s="34">
        <v>376.49881900000003</v>
      </c>
      <c r="AI226" s="34">
        <v>378.1255592</v>
      </c>
      <c r="AJ226" s="34">
        <v>412.26075209999999</v>
      </c>
      <c r="AK226" s="34">
        <v>418.51502470000003</v>
      </c>
      <c r="AL226" s="34">
        <v>385.15215219999999</v>
      </c>
      <c r="AM226" s="34">
        <v>448.37016010000002</v>
      </c>
      <c r="AN226" s="34">
        <v>358.55595890000001</v>
      </c>
      <c r="AO226" s="34">
        <v>335.71229140000003</v>
      </c>
      <c r="AP226" s="34">
        <v>345.68962069999998</v>
      </c>
      <c r="AQ226" s="34">
        <v>382.94103519999999</v>
      </c>
      <c r="AR226" s="34">
        <v>382.24196330000001</v>
      </c>
      <c r="AS226" s="34">
        <v>435.45819940000001</v>
      </c>
      <c r="AT226" s="34">
        <v>538.59155299999998</v>
      </c>
      <c r="AU226" s="34">
        <v>702.7411184</v>
      </c>
      <c r="AV226" s="34">
        <v>1047.9188429999999</v>
      </c>
      <c r="AW226" s="34">
        <v>1124.2905860000001</v>
      </c>
      <c r="AX226" s="34">
        <v>1394.0005000000001</v>
      </c>
      <c r="AY226" s="34">
        <v>1159.9074989999999</v>
      </c>
      <c r="AZ226" s="34">
        <v>1489.459087</v>
      </c>
      <c r="BA226" s="34">
        <v>1672.9075350000001</v>
      </c>
      <c r="BB226" s="34">
        <v>1763.069442</v>
      </c>
      <c r="BC226" s="34">
        <v>1878.3468105066099</v>
      </c>
      <c r="BD226" s="34">
        <v>1762.427817</v>
      </c>
      <c r="BE226" s="34">
        <v>1338.290927</v>
      </c>
      <c r="BF226" s="34">
        <v>1280.8065429999999</v>
      </c>
      <c r="BG226" s="34">
        <v>1535.1965740000001</v>
      </c>
      <c r="BH226" s="34">
        <v>1516.368371</v>
      </c>
      <c r="BI226" s="34">
        <v>1305.001031</v>
      </c>
      <c r="BJ226" s="34">
        <v>985.13243599999998</v>
      </c>
    </row>
    <row r="227" spans="1:62">
      <c r="A227" s="1" t="s">
        <v>1122</v>
      </c>
      <c r="B227" s="34">
        <v>278.81384680000002</v>
      </c>
      <c r="C227" s="34">
        <v>280.82866289999998</v>
      </c>
      <c r="D227" s="34">
        <v>276.68823279999998</v>
      </c>
      <c r="E227" s="34">
        <v>277.47971510000002</v>
      </c>
      <c r="F227" s="34">
        <v>281.558896</v>
      </c>
      <c r="G227" s="34">
        <v>293.30878799999999</v>
      </c>
      <c r="H227" s="34">
        <v>277.23453169999999</v>
      </c>
      <c r="I227" s="34">
        <v>292.27053289999998</v>
      </c>
      <c r="J227" s="34">
        <v>299.3989358</v>
      </c>
      <c r="K227" s="34">
        <v>341.985387</v>
      </c>
      <c r="L227" s="34">
        <v>356.22899539999997</v>
      </c>
      <c r="M227" s="34">
        <v>397.79533529999998</v>
      </c>
      <c r="N227" s="34">
        <v>471.93690279999998</v>
      </c>
      <c r="O227" s="34">
        <v>563.03307830000006</v>
      </c>
      <c r="P227" s="34">
        <v>654.41419159999998</v>
      </c>
      <c r="Q227" s="34">
        <v>694.53249389999996</v>
      </c>
      <c r="R227" s="34">
        <v>664.10275569999999</v>
      </c>
      <c r="S227" s="34">
        <v>650.15579879999996</v>
      </c>
      <c r="T227" s="34">
        <v>627.96711760000005</v>
      </c>
      <c r="U227" s="34">
        <v>723.10673389999999</v>
      </c>
      <c r="V227" s="34">
        <v>901.49841470000001</v>
      </c>
      <c r="W227" s="34">
        <v>1043.748057</v>
      </c>
      <c r="X227" s="34">
        <v>1073.064116</v>
      </c>
      <c r="Y227" s="34">
        <v>940.557953</v>
      </c>
      <c r="Z227" s="34">
        <v>741.87500050000006</v>
      </c>
      <c r="AA227" s="34">
        <v>635.00605859999996</v>
      </c>
      <c r="AB227" s="34">
        <v>675.80677490000005</v>
      </c>
      <c r="AC227" s="34">
        <v>707.57554000000005</v>
      </c>
      <c r="AD227" s="34">
        <v>793.4492583</v>
      </c>
      <c r="AE227" s="34">
        <v>816.07676570000001</v>
      </c>
      <c r="AF227" s="34">
        <v>841.97395830000005</v>
      </c>
      <c r="AG227" s="34">
        <v>809.0511401</v>
      </c>
      <c r="AH227" s="34">
        <v>619.3720826</v>
      </c>
      <c r="AI227" s="34">
        <v>591.71968240000001</v>
      </c>
      <c r="AJ227" s="34">
        <v>611.86527639999997</v>
      </c>
      <c r="AK227" s="34">
        <v>623.20958510000003</v>
      </c>
      <c r="AL227" s="34">
        <v>741.09585519999996</v>
      </c>
      <c r="AM227" s="34">
        <v>731.94762600000001</v>
      </c>
      <c r="AN227" s="34">
        <v>544.98383809999996</v>
      </c>
      <c r="AO227" s="34">
        <v>580.07057090000001</v>
      </c>
      <c r="AP227" s="34">
        <v>563.05750409999996</v>
      </c>
      <c r="AQ227" s="34">
        <v>568.38629049999997</v>
      </c>
      <c r="AR227" s="34">
        <v>530.53044629999999</v>
      </c>
      <c r="AS227" s="34">
        <v>478.00760439999999</v>
      </c>
      <c r="AT227" s="34">
        <v>482.99845149999999</v>
      </c>
      <c r="AU227" s="34">
        <v>476.55540250000001</v>
      </c>
      <c r="AV227" s="34">
        <v>447.85473990000003</v>
      </c>
      <c r="AW227" s="34">
        <v>431.7872587</v>
      </c>
      <c r="AX227" s="34">
        <v>356.69323439999999</v>
      </c>
      <c r="AY227" s="34">
        <v>771.59903229999998</v>
      </c>
      <c r="AZ227" s="34">
        <v>948.33148100000005</v>
      </c>
      <c r="BA227" s="34">
        <v>1093.653409</v>
      </c>
      <c r="BB227" s="34">
        <v>1304.9680109999999</v>
      </c>
      <c r="BC227" s="34">
        <v>1429.9984614667801</v>
      </c>
      <c r="BD227" s="34">
        <v>1434.8962770000001</v>
      </c>
      <c r="BE227" s="34">
        <v>1445.069702</v>
      </c>
      <c r="BF227" s="34">
        <v>1464.5889569999999</v>
      </c>
      <c r="BG227" s="34">
        <v>1235.189032</v>
      </c>
      <c r="BH227" s="34">
        <v>1254.642265</v>
      </c>
      <c r="BI227" s="34">
        <v>1316.7406570000001</v>
      </c>
      <c r="BJ227" s="34">
        <v>1214.50982</v>
      </c>
    </row>
    <row r="228" spans="1:62">
      <c r="A228" s="1" t="s">
        <v>1036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  <c r="N228" s="34">
        <v>0</v>
      </c>
      <c r="O228" s="34">
        <v>0</v>
      </c>
      <c r="P228" s="34">
        <v>0</v>
      </c>
      <c r="Q228" s="34">
        <v>0</v>
      </c>
      <c r="R228" s="34">
        <v>0</v>
      </c>
      <c r="S228" s="34">
        <v>0</v>
      </c>
      <c r="T228" s="34">
        <v>0</v>
      </c>
      <c r="U228" s="34">
        <v>0</v>
      </c>
      <c r="V228" s="34">
        <v>0</v>
      </c>
      <c r="W228" s="34">
        <v>0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211.33200339999999</v>
      </c>
      <c r="AI228" s="34">
        <v>208.99947990000001</v>
      </c>
      <c r="AJ228" s="34">
        <v>239.6680867</v>
      </c>
      <c r="AK228" s="34">
        <v>262.23053479999999</v>
      </c>
      <c r="AL228" s="34">
        <v>315.75068240000002</v>
      </c>
      <c r="AM228" s="34">
        <v>312.72439500000002</v>
      </c>
      <c r="AN228" s="34">
        <v>337.88659230000002</v>
      </c>
      <c r="AO228" s="34">
        <v>307.90990920000002</v>
      </c>
      <c r="AP228" s="34">
        <v>308.13418680000001</v>
      </c>
      <c r="AQ228" s="34">
        <v>316.82395339999999</v>
      </c>
      <c r="AR228" s="34">
        <v>293.95567240000003</v>
      </c>
      <c r="AS228" s="34">
        <v>334.58557150000001</v>
      </c>
      <c r="AT228" s="34">
        <v>407.76907699999998</v>
      </c>
      <c r="AU228" s="34">
        <v>388.59594750000002</v>
      </c>
      <c r="AV228" s="34">
        <v>415.03603049999998</v>
      </c>
      <c r="AW228" s="34">
        <v>439.83210339999999</v>
      </c>
      <c r="AX228" s="34">
        <v>450.6323989</v>
      </c>
      <c r="AY228" s="34">
        <v>595.10998719999998</v>
      </c>
      <c r="AZ228" s="34">
        <v>501.35531700000001</v>
      </c>
      <c r="BA228" s="34">
        <v>642.50825880000002</v>
      </c>
      <c r="BB228" s="34">
        <v>0</v>
      </c>
      <c r="BC228" s="34">
        <v>0</v>
      </c>
      <c r="BD228" s="34">
        <v>0</v>
      </c>
      <c r="BE228" s="34">
        <v>0</v>
      </c>
      <c r="BF228" s="34">
        <v>0</v>
      </c>
      <c r="BG228" s="34">
        <v>0</v>
      </c>
      <c r="BH228" s="34">
        <v>0</v>
      </c>
      <c r="BI228" s="34">
        <v>0</v>
      </c>
      <c r="BJ228" s="34">
        <v>0</v>
      </c>
    </row>
    <row r="229" spans="1:62">
      <c r="A229" s="1" t="s">
        <v>1123</v>
      </c>
      <c r="B229" s="34" t="e">
        <v>#N/A</v>
      </c>
      <c r="C229" s="34" t="e">
        <v>#N/A</v>
      </c>
      <c r="D229" s="34" t="e">
        <v>#N/A</v>
      </c>
      <c r="E229" s="34" t="e">
        <v>#N/A</v>
      </c>
      <c r="F229" s="34" t="e">
        <v>#N/A</v>
      </c>
      <c r="G229" s="34" t="e">
        <v>#N/A</v>
      </c>
      <c r="H229" s="34" t="e">
        <v>#N/A</v>
      </c>
      <c r="I229" s="34" t="e">
        <v>#N/A</v>
      </c>
      <c r="J229" s="34" t="e">
        <v>#N/A</v>
      </c>
      <c r="K229" s="34" t="e">
        <v>#N/A</v>
      </c>
      <c r="L229" s="34" t="e">
        <v>#N/A</v>
      </c>
      <c r="M229" s="34" t="e">
        <v>#N/A</v>
      </c>
      <c r="N229" s="34" t="e">
        <v>#N/A</v>
      </c>
      <c r="O229" s="34" t="e">
        <v>#N/A</v>
      </c>
      <c r="P229" s="34" t="e">
        <v>#N/A</v>
      </c>
      <c r="Q229" s="34" t="e">
        <v>#N/A</v>
      </c>
      <c r="R229" s="34" t="e">
        <v>#N/A</v>
      </c>
      <c r="S229" s="34" t="e">
        <v>#N/A</v>
      </c>
      <c r="T229" s="34" t="e">
        <v>#N/A</v>
      </c>
      <c r="U229" s="34" t="e">
        <v>#N/A</v>
      </c>
      <c r="V229" s="34" t="e">
        <v>#N/A</v>
      </c>
      <c r="W229" s="34" t="e">
        <v>#N/A</v>
      </c>
      <c r="X229" s="34" t="e">
        <v>#N/A</v>
      </c>
      <c r="Y229" s="34" t="e">
        <v>#N/A</v>
      </c>
      <c r="Z229" s="34" t="e">
        <v>#N/A</v>
      </c>
      <c r="AA229" s="34" t="e">
        <v>#N/A</v>
      </c>
      <c r="AB229" s="34" t="e">
        <v>#N/A</v>
      </c>
      <c r="AC229" s="34" t="e">
        <v>#N/A</v>
      </c>
      <c r="AD229" s="34" t="e">
        <v>#N/A</v>
      </c>
      <c r="AE229" s="34" t="e">
        <v>#N/A</v>
      </c>
      <c r="AF229" s="34" t="e">
        <v>#N/A</v>
      </c>
      <c r="AG229" s="34" t="e">
        <v>#N/A</v>
      </c>
      <c r="AH229" s="34" t="e">
        <v>#N/A</v>
      </c>
      <c r="AI229" s="34" t="e">
        <v>#N/A</v>
      </c>
      <c r="AJ229" s="34" t="e">
        <v>#N/A</v>
      </c>
      <c r="AK229" s="34" t="e">
        <v>#N/A</v>
      </c>
      <c r="AL229" s="34" t="e">
        <v>#N/A</v>
      </c>
      <c r="AM229" s="34" t="e">
        <v>#N/A</v>
      </c>
      <c r="AN229" s="34" t="e">
        <v>#N/A</v>
      </c>
      <c r="AO229" s="34" t="e">
        <v>#N/A</v>
      </c>
      <c r="AP229" s="34">
        <v>0</v>
      </c>
      <c r="AQ229" s="34">
        <v>0</v>
      </c>
      <c r="AR229" s="34">
        <v>0</v>
      </c>
      <c r="AS229" s="34">
        <v>0</v>
      </c>
      <c r="AT229" s="34">
        <v>0</v>
      </c>
      <c r="AU229" s="34">
        <v>0</v>
      </c>
      <c r="AV229" s="34">
        <v>0</v>
      </c>
      <c r="AW229" s="34">
        <v>0</v>
      </c>
      <c r="AX229" s="34">
        <v>0</v>
      </c>
      <c r="AY229" s="34">
        <v>0</v>
      </c>
      <c r="AZ229" s="34">
        <v>0</v>
      </c>
      <c r="BA229" s="34">
        <v>0</v>
      </c>
      <c r="BB229" s="34">
        <v>0</v>
      </c>
      <c r="BC229" s="34">
        <v>0</v>
      </c>
      <c r="BD229" s="34">
        <v>0</v>
      </c>
      <c r="BE229" s="34">
        <v>0</v>
      </c>
      <c r="BF229" s="34">
        <v>0</v>
      </c>
      <c r="BG229" s="34">
        <v>0</v>
      </c>
      <c r="BH229" s="34">
        <v>0</v>
      </c>
      <c r="BI229" s="34">
        <v>0</v>
      </c>
      <c r="BJ229" s="34">
        <v>0</v>
      </c>
    </row>
    <row r="230" spans="1:62">
      <c r="A230" s="1" t="s">
        <v>1099</v>
      </c>
      <c r="B230" s="34" t="e">
        <v>#N/A</v>
      </c>
      <c r="C230" s="34" t="e">
        <v>#N/A</v>
      </c>
      <c r="D230" s="34" t="e">
        <v>#N/A</v>
      </c>
      <c r="E230" s="34" t="e">
        <v>#N/A</v>
      </c>
      <c r="F230" s="34" t="e">
        <v>#N/A</v>
      </c>
      <c r="G230" s="34" t="e">
        <v>#N/A</v>
      </c>
      <c r="H230" s="34" t="e">
        <v>#N/A</v>
      </c>
      <c r="I230" s="34" t="e">
        <v>#N/A</v>
      </c>
      <c r="J230" s="34" t="e">
        <v>#N/A</v>
      </c>
      <c r="K230" s="34" t="e">
        <v>#N/A</v>
      </c>
      <c r="L230" s="34" t="e">
        <v>#N/A</v>
      </c>
      <c r="M230" s="34" t="e">
        <v>#N/A</v>
      </c>
      <c r="N230" s="34" t="e">
        <v>#N/A</v>
      </c>
      <c r="O230" s="34" t="e">
        <v>#N/A</v>
      </c>
      <c r="P230" s="34" t="e">
        <v>#N/A</v>
      </c>
      <c r="Q230" s="34" t="e">
        <v>#N/A</v>
      </c>
      <c r="R230" s="34" t="e">
        <v>#N/A</v>
      </c>
      <c r="S230" s="34" t="e">
        <v>#N/A</v>
      </c>
      <c r="T230" s="34" t="e">
        <v>#N/A</v>
      </c>
      <c r="U230" s="34" t="e">
        <v>#N/A</v>
      </c>
      <c r="V230" s="34" t="e">
        <v>#N/A</v>
      </c>
      <c r="W230" s="34" t="e">
        <v>#N/A</v>
      </c>
      <c r="X230" s="34" t="e">
        <v>#N/A</v>
      </c>
      <c r="Y230" s="34" t="e">
        <v>#N/A</v>
      </c>
      <c r="Z230" s="34" t="e">
        <v>#N/A</v>
      </c>
      <c r="AA230" s="34" t="e">
        <v>#N/A</v>
      </c>
      <c r="AB230" s="34" t="e">
        <v>#N/A</v>
      </c>
      <c r="AC230" s="34" t="e">
        <v>#N/A</v>
      </c>
      <c r="AD230" s="34" t="e">
        <v>#N/A</v>
      </c>
      <c r="AE230" s="34" t="e">
        <v>#N/A</v>
      </c>
      <c r="AF230" s="34" t="e">
        <v>#N/A</v>
      </c>
      <c r="AG230" s="34" t="e">
        <v>#N/A</v>
      </c>
      <c r="AH230" s="34" t="e">
        <v>#N/A</v>
      </c>
      <c r="AI230" s="34" t="e">
        <v>#N/A</v>
      </c>
      <c r="AJ230" s="34" t="e">
        <v>#N/A</v>
      </c>
      <c r="AK230" s="34" t="e">
        <v>#N/A</v>
      </c>
      <c r="AL230" s="34" t="e">
        <v>#N/A</v>
      </c>
      <c r="AM230" s="34" t="e">
        <v>#N/A</v>
      </c>
      <c r="AN230" s="34" t="e">
        <v>#N/A</v>
      </c>
      <c r="AO230" s="34" t="e">
        <v>#N/A</v>
      </c>
      <c r="AP230" s="34">
        <v>0</v>
      </c>
      <c r="AQ230" s="34">
        <v>0</v>
      </c>
      <c r="AR230" s="34">
        <v>0</v>
      </c>
      <c r="AS230" s="34">
        <v>0</v>
      </c>
      <c r="AT230" s="34">
        <v>0</v>
      </c>
      <c r="AU230" s="34">
        <v>0</v>
      </c>
      <c r="AV230" s="34">
        <v>0</v>
      </c>
      <c r="AW230" s="34">
        <v>0</v>
      </c>
      <c r="AX230" s="34">
        <v>0</v>
      </c>
      <c r="AY230" s="34">
        <v>0</v>
      </c>
      <c r="AZ230" s="34">
        <v>0</v>
      </c>
      <c r="BA230" s="34">
        <v>0</v>
      </c>
      <c r="BB230" s="34">
        <v>0</v>
      </c>
      <c r="BC230" s="34">
        <v>0</v>
      </c>
      <c r="BD230" s="34">
        <v>0</v>
      </c>
      <c r="BE230" s="34">
        <v>0</v>
      </c>
      <c r="BF230" s="34">
        <v>0</v>
      </c>
      <c r="BG230" s="34">
        <v>0</v>
      </c>
      <c r="BH230" s="34">
        <v>0</v>
      </c>
      <c r="BI230" s="34">
        <v>0</v>
      </c>
      <c r="BJ230" s="34">
        <v>0</v>
      </c>
    </row>
  </sheetData>
  <sheetProtection algorithmName="SHA-512" hashValue="FBWzk5Pwbq6NCJUGc2krzhEWRcQyMTl9u8Shpti8wqS+q6oJiKeWNURSzwPwwnpiTgPjvQRpLesBOytIC2BZjQ==" saltValue="vmmRNQrL8D1c/mmBcsIxng==" spinCount="100000" sheet="1" objects="1" scenarios="1"/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8289-62BE-47CD-A1BA-5E41AC4AA583}">
  <sheetPr codeName="Sheet12"/>
  <dimension ref="A1:AB267"/>
  <sheetViews>
    <sheetView topLeftCell="T1" zoomScale="90" zoomScaleNormal="90" workbookViewId="0">
      <pane ySplit="1" topLeftCell="A2" activePane="bottomLeft" state="frozen"/>
      <selection pane="bottomLeft" activeCell="AD16" sqref="AD16"/>
    </sheetView>
  </sheetViews>
  <sheetFormatPr baseColWidth="10" defaultColWidth="8.83203125" defaultRowHeight="15"/>
  <cols>
    <col min="1" max="1" width="30.33203125" customWidth="1"/>
  </cols>
  <sheetData>
    <row r="1" spans="1:28">
      <c r="A1" s="2" t="s">
        <v>1164</v>
      </c>
      <c r="B1" s="2">
        <v>1996</v>
      </c>
      <c r="C1" s="2">
        <v>1997</v>
      </c>
      <c r="D1" s="2">
        <v>1998</v>
      </c>
      <c r="E1" s="2">
        <v>1999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  <c r="W1" s="2">
        <v>2017</v>
      </c>
      <c r="X1" s="2">
        <v>2018</v>
      </c>
      <c r="Y1" s="2">
        <v>2019</v>
      </c>
      <c r="Z1" s="2">
        <v>2020</v>
      </c>
    </row>
    <row r="2" spans="1:28">
      <c r="A2" s="1" t="s">
        <v>1002</v>
      </c>
      <c r="B2" s="1">
        <v>47.5</v>
      </c>
      <c r="C2" s="1">
        <v>47.5</v>
      </c>
      <c r="D2" s="1">
        <v>47.5</v>
      </c>
      <c r="E2" s="1">
        <v>46.619531077188903</v>
      </c>
      <c r="F2" s="1">
        <v>47.357574731182801</v>
      </c>
      <c r="G2" s="1">
        <v>47.500014516128999</v>
      </c>
      <c r="H2" s="1">
        <v>47.262999999999998</v>
      </c>
      <c r="I2" s="1">
        <v>48.7627535833333</v>
      </c>
      <c r="J2" s="1">
        <v>47.845312499999999</v>
      </c>
      <c r="K2" s="1">
        <v>49.494597499999998</v>
      </c>
      <c r="L2" s="1">
        <v>49.925330833333298</v>
      </c>
      <c r="M2" s="1">
        <v>49.962017770397203</v>
      </c>
      <c r="N2" s="1">
        <v>50.249614743589703</v>
      </c>
      <c r="O2" s="1">
        <v>50.325000000000003</v>
      </c>
      <c r="P2" s="1">
        <v>46.452461001317502</v>
      </c>
      <c r="Q2" s="1">
        <v>46.747007738580997</v>
      </c>
      <c r="R2" s="1">
        <v>50.921399999999998</v>
      </c>
      <c r="S2" s="1">
        <v>55.377499999999998</v>
      </c>
      <c r="T2" s="1">
        <v>57.247500000000002</v>
      </c>
      <c r="U2" s="1">
        <v>61.143461541666703</v>
      </c>
      <c r="V2" s="1">
        <v>67.866085769230807</v>
      </c>
      <c r="W2" s="1">
        <v>68.026904082231198</v>
      </c>
      <c r="X2" s="1">
        <v>72.083247177304003</v>
      </c>
      <c r="Y2" s="1">
        <v>77.737949178336706</v>
      </c>
      <c r="Z2" s="1">
        <v>76.813536435489695</v>
      </c>
      <c r="AB2" t="s">
        <v>1209</v>
      </c>
    </row>
    <row r="3" spans="1:28">
      <c r="A3" s="1" t="s">
        <v>1001</v>
      </c>
      <c r="B3" s="1">
        <v>104.498916666667</v>
      </c>
      <c r="C3" s="1">
        <v>148.93291666666701</v>
      </c>
      <c r="D3" s="1">
        <v>150.63333333333301</v>
      </c>
      <c r="E3" s="1">
        <v>137.690583333333</v>
      </c>
      <c r="F3" s="1">
        <v>143.70941666666701</v>
      </c>
      <c r="G3" s="1">
        <v>143.484833333333</v>
      </c>
      <c r="H3" s="1">
        <v>140.15451587499999</v>
      </c>
      <c r="I3" s="1">
        <v>121.86324999999999</v>
      </c>
      <c r="J3" s="1">
        <v>102.780051196172</v>
      </c>
      <c r="K3" s="1">
        <v>99.870254480899206</v>
      </c>
      <c r="L3" s="1">
        <v>98.103377091269806</v>
      </c>
      <c r="M3" s="1">
        <v>90.427893831070804</v>
      </c>
      <c r="N3" s="1">
        <v>83.894604100529094</v>
      </c>
      <c r="O3" s="1">
        <v>94.978119820384293</v>
      </c>
      <c r="P3" s="1">
        <v>103.93666666666699</v>
      </c>
      <c r="Q3" s="1">
        <v>100.895833333333</v>
      </c>
      <c r="R3" s="1">
        <v>108.184166666667</v>
      </c>
      <c r="S3" s="1">
        <v>105.669166666667</v>
      </c>
      <c r="T3" s="1">
        <v>105.48</v>
      </c>
      <c r="U3" s="1">
        <v>125.961666666667</v>
      </c>
      <c r="V3" s="1">
        <v>124.1425</v>
      </c>
      <c r="W3" s="1">
        <v>119.1</v>
      </c>
      <c r="X3" s="1">
        <v>107.989166666667</v>
      </c>
      <c r="Y3" s="1">
        <v>109.850833333333</v>
      </c>
      <c r="Z3" s="1">
        <v>108.65</v>
      </c>
    </row>
    <row r="4" spans="1:28">
      <c r="A4" s="1" t="s">
        <v>586</v>
      </c>
      <c r="B4" s="1">
        <v>54.748933333333298</v>
      </c>
      <c r="C4" s="1">
        <v>57.707349999999998</v>
      </c>
      <c r="D4" s="1">
        <v>58.738958333333301</v>
      </c>
      <c r="E4" s="1">
        <v>66.573875000000001</v>
      </c>
      <c r="F4" s="1">
        <v>75.2597916666667</v>
      </c>
      <c r="G4" s="1">
        <v>77.215020833333298</v>
      </c>
      <c r="H4" s="1">
        <v>79.681899999999999</v>
      </c>
      <c r="I4" s="1">
        <v>77.394975000000002</v>
      </c>
      <c r="J4" s="1">
        <v>72.060649999999995</v>
      </c>
      <c r="K4" s="1">
        <v>73.276308333333304</v>
      </c>
      <c r="L4" s="1">
        <v>72.646616666666702</v>
      </c>
      <c r="M4" s="1">
        <v>69.292400000000001</v>
      </c>
      <c r="N4" s="1">
        <v>64.582800000000006</v>
      </c>
      <c r="O4" s="1">
        <v>72.6474166666667</v>
      </c>
      <c r="P4" s="1">
        <v>74.3859833333333</v>
      </c>
      <c r="Q4" s="1">
        <v>72.937883333333303</v>
      </c>
      <c r="R4" s="1">
        <v>77.535966666666695</v>
      </c>
      <c r="S4" s="1">
        <v>79.368399999999994</v>
      </c>
      <c r="T4" s="1">
        <v>80.579016666666703</v>
      </c>
      <c r="U4" s="1">
        <v>100.69143333333299</v>
      </c>
      <c r="V4" s="1">
        <v>109.44306666666699</v>
      </c>
      <c r="W4" s="1">
        <v>110.97301666666699</v>
      </c>
      <c r="X4" s="1">
        <v>116.593791666667</v>
      </c>
      <c r="Y4" s="1">
        <v>119.353558333333</v>
      </c>
      <c r="Z4" s="1">
        <v>126.77679999999999</v>
      </c>
    </row>
    <row r="5" spans="1:28">
      <c r="A5" s="1" t="s">
        <v>1169</v>
      </c>
      <c r="B5" s="1" t="s">
        <v>1210</v>
      </c>
      <c r="C5" s="1" t="s">
        <v>1210</v>
      </c>
      <c r="D5" s="1" t="s">
        <v>1210</v>
      </c>
      <c r="E5" s="1" t="s">
        <v>1210</v>
      </c>
      <c r="F5" s="1" t="s">
        <v>1210</v>
      </c>
      <c r="G5" s="1" t="s">
        <v>1210</v>
      </c>
      <c r="H5" s="1" t="s">
        <v>1210</v>
      </c>
      <c r="I5" s="1" t="s">
        <v>1210</v>
      </c>
      <c r="J5" s="1" t="s">
        <v>1210</v>
      </c>
      <c r="K5" s="1" t="s">
        <v>1210</v>
      </c>
      <c r="L5" s="1" t="s">
        <v>1210</v>
      </c>
      <c r="M5" s="1" t="s">
        <v>1210</v>
      </c>
      <c r="N5" s="1" t="s">
        <v>1210</v>
      </c>
      <c r="O5" s="1" t="s">
        <v>1210</v>
      </c>
      <c r="P5" s="1" t="s">
        <v>1210</v>
      </c>
      <c r="Q5" s="1" t="s">
        <v>1210</v>
      </c>
      <c r="R5" s="1" t="s">
        <v>1210</v>
      </c>
      <c r="S5" s="1" t="s">
        <v>1210</v>
      </c>
      <c r="T5" s="1" t="s">
        <v>1210</v>
      </c>
      <c r="U5" s="1" t="s">
        <v>1210</v>
      </c>
      <c r="V5" s="1" t="s">
        <v>1210</v>
      </c>
      <c r="W5" s="1" t="s">
        <v>1210</v>
      </c>
      <c r="X5" s="1" t="s">
        <v>1210</v>
      </c>
      <c r="Y5" s="1" t="s">
        <v>1210</v>
      </c>
      <c r="Z5" s="1" t="s">
        <v>1210</v>
      </c>
    </row>
    <row r="6" spans="1:28">
      <c r="A6" s="1" t="s">
        <v>1166</v>
      </c>
      <c r="B6" s="1" t="s">
        <v>1210</v>
      </c>
      <c r="C6" s="1" t="s">
        <v>1210</v>
      </c>
      <c r="D6" s="1" t="s">
        <v>1210</v>
      </c>
      <c r="E6" s="1" t="s">
        <v>1210</v>
      </c>
      <c r="F6" s="1" t="s">
        <v>1210</v>
      </c>
      <c r="G6" s="1" t="s">
        <v>1210</v>
      </c>
      <c r="H6" s="1" t="s">
        <v>1210</v>
      </c>
      <c r="I6" s="1" t="s">
        <v>1210</v>
      </c>
      <c r="J6" s="1" t="s">
        <v>1210</v>
      </c>
      <c r="K6" s="1" t="s">
        <v>1210</v>
      </c>
      <c r="L6" s="1" t="s">
        <v>1210</v>
      </c>
      <c r="M6" s="1" t="s">
        <v>1210</v>
      </c>
      <c r="N6" s="1" t="s">
        <v>1210</v>
      </c>
      <c r="O6" s="1" t="s">
        <v>1210</v>
      </c>
      <c r="P6" s="1" t="s">
        <v>1210</v>
      </c>
      <c r="Q6" s="1" t="s">
        <v>1210</v>
      </c>
      <c r="R6" s="1" t="s">
        <v>1210</v>
      </c>
      <c r="S6" s="1" t="s">
        <v>1210</v>
      </c>
      <c r="T6" s="1" t="s">
        <v>1210</v>
      </c>
      <c r="U6" s="1" t="s">
        <v>1210</v>
      </c>
      <c r="V6" s="1" t="s">
        <v>1210</v>
      </c>
      <c r="W6" s="1" t="s">
        <v>1210</v>
      </c>
      <c r="X6" s="1" t="s">
        <v>1210</v>
      </c>
      <c r="Y6" s="1" t="s">
        <v>1210</v>
      </c>
      <c r="Z6" s="1" t="s">
        <v>1210</v>
      </c>
    </row>
    <row r="7" spans="1:28">
      <c r="A7" s="1" t="s">
        <v>1004</v>
      </c>
      <c r="B7" s="1">
        <v>0.128029166666667</v>
      </c>
      <c r="C7" s="1">
        <v>0.22904008333333301</v>
      </c>
      <c r="D7" s="1">
        <v>0.3928235175</v>
      </c>
      <c r="E7" s="1">
        <v>2.7907061666666699</v>
      </c>
      <c r="F7" s="1">
        <v>10.040544166666701</v>
      </c>
      <c r="G7" s="1">
        <v>22.0578616666667</v>
      </c>
      <c r="H7" s="1">
        <v>43.5302066666667</v>
      </c>
      <c r="I7" s="1">
        <v>74.606300833333293</v>
      </c>
      <c r="J7" s="1">
        <v>83.541362500000005</v>
      </c>
      <c r="K7" s="1">
        <v>87.159141666666699</v>
      </c>
      <c r="L7" s="1">
        <v>80.368072055555601</v>
      </c>
      <c r="M7" s="1">
        <v>76.706142749999998</v>
      </c>
      <c r="N7" s="1">
        <v>75.033354166666697</v>
      </c>
      <c r="O7" s="1">
        <v>79.328166666666704</v>
      </c>
      <c r="P7" s="1">
        <v>91.905720340501802</v>
      </c>
      <c r="Q7" s="1">
        <v>93.934749999999994</v>
      </c>
      <c r="R7" s="1">
        <v>95.467955421311004</v>
      </c>
      <c r="S7" s="1">
        <v>96.518279479152596</v>
      </c>
      <c r="T7" s="1">
        <v>98.302416855633496</v>
      </c>
      <c r="U7" s="1">
        <v>120.060701665019</v>
      </c>
      <c r="V7" s="1">
        <v>163.65643411657899</v>
      </c>
      <c r="W7" s="1">
        <v>165.91595069149801</v>
      </c>
      <c r="X7" s="1">
        <v>252.85574773129699</v>
      </c>
      <c r="Y7" s="1">
        <v>364.82580498088703</v>
      </c>
      <c r="Z7" s="1">
        <v>578.25878028011095</v>
      </c>
    </row>
    <row r="8" spans="1:28">
      <c r="A8" s="1" t="s">
        <v>1006</v>
      </c>
      <c r="B8" s="1">
        <v>2.7</v>
      </c>
      <c r="C8" s="1">
        <v>2.7</v>
      </c>
      <c r="D8" s="1">
        <v>2.7</v>
      </c>
      <c r="E8" s="1">
        <v>2.7</v>
      </c>
      <c r="F8" s="1">
        <v>2.7</v>
      </c>
      <c r="G8" s="1">
        <v>2.7</v>
      </c>
      <c r="H8" s="1">
        <v>2.7</v>
      </c>
      <c r="I8" s="1">
        <v>2.7</v>
      </c>
      <c r="J8" s="1">
        <v>2.7</v>
      </c>
      <c r="K8" s="1">
        <v>2.7</v>
      </c>
      <c r="L8" s="1">
        <v>2.7</v>
      </c>
      <c r="M8" s="1">
        <v>2.7</v>
      </c>
      <c r="N8" s="1">
        <v>2.7</v>
      </c>
      <c r="O8" s="1">
        <v>2.7</v>
      </c>
      <c r="P8" s="1">
        <v>2.7</v>
      </c>
      <c r="Q8" s="1">
        <v>2.7</v>
      </c>
      <c r="R8" s="1">
        <v>2.7</v>
      </c>
      <c r="S8" s="1">
        <v>2.7</v>
      </c>
      <c r="T8" s="1">
        <v>2.7</v>
      </c>
      <c r="U8" s="1">
        <v>2.7</v>
      </c>
      <c r="V8" s="1">
        <v>2.7</v>
      </c>
      <c r="W8" s="1">
        <v>2.7</v>
      </c>
      <c r="X8" s="1">
        <v>2.7</v>
      </c>
      <c r="Y8" s="1">
        <v>2.7</v>
      </c>
      <c r="Z8" s="1">
        <v>2.7</v>
      </c>
    </row>
    <row r="9" spans="1:28">
      <c r="A9" s="1" t="s">
        <v>365</v>
      </c>
      <c r="B9" s="1">
        <v>0.99966250000000001</v>
      </c>
      <c r="C9" s="1">
        <v>0.99950000000000006</v>
      </c>
      <c r="D9" s="1">
        <v>0.99950000000000006</v>
      </c>
      <c r="E9" s="1">
        <v>0.99950000000000006</v>
      </c>
      <c r="F9" s="1">
        <v>0.99950000000000006</v>
      </c>
      <c r="G9" s="1">
        <v>0.99950000000000006</v>
      </c>
      <c r="H9" s="1">
        <v>3.0632566666666698</v>
      </c>
      <c r="I9" s="1">
        <v>2.9006291666666701</v>
      </c>
      <c r="J9" s="1">
        <v>2.9233008189033201</v>
      </c>
      <c r="K9" s="1">
        <v>2.9036575</v>
      </c>
      <c r="L9" s="1">
        <v>3.0543133333333299</v>
      </c>
      <c r="M9" s="1">
        <v>3.0956488492063499</v>
      </c>
      <c r="N9" s="1">
        <v>3.14416455988456</v>
      </c>
      <c r="O9" s="1">
        <v>3.7101068305232801</v>
      </c>
      <c r="P9" s="1">
        <v>3.8962951544704998</v>
      </c>
      <c r="Q9" s="1">
        <v>4.1101395762132604</v>
      </c>
      <c r="R9" s="1">
        <v>4.5369343601874599</v>
      </c>
      <c r="S9" s="1">
        <v>5.4593526646570396</v>
      </c>
      <c r="T9" s="1">
        <v>8.0752759928133404</v>
      </c>
      <c r="U9" s="1">
        <v>9.2331855247242896</v>
      </c>
      <c r="V9" s="1">
        <v>14.7581750873396</v>
      </c>
      <c r="W9" s="1">
        <v>16.5627069251411</v>
      </c>
      <c r="X9" s="1">
        <v>28.094991666666701</v>
      </c>
      <c r="Y9" s="1">
        <v>48.147891666666702</v>
      </c>
      <c r="Z9" s="1">
        <v>70.539166666666702</v>
      </c>
    </row>
    <row r="10" spans="1:28">
      <c r="A10" s="1" t="s">
        <v>1003</v>
      </c>
      <c r="B10" s="1">
        <v>414.04149999999998</v>
      </c>
      <c r="C10" s="1">
        <v>490.84678574999998</v>
      </c>
      <c r="D10" s="1">
        <v>504.91500000000002</v>
      </c>
      <c r="E10" s="1">
        <v>535.06183333333297</v>
      </c>
      <c r="F10" s="1">
        <v>539.52583333333303</v>
      </c>
      <c r="G10" s="1">
        <v>555.078258333333</v>
      </c>
      <c r="H10" s="1">
        <v>573.35333333333301</v>
      </c>
      <c r="I10" s="1">
        <v>578.76295454545505</v>
      </c>
      <c r="J10" s="1">
        <v>533.45083333333298</v>
      </c>
      <c r="K10" s="1">
        <v>457.68694062915898</v>
      </c>
      <c r="L10" s="1">
        <v>416.04036972454202</v>
      </c>
      <c r="M10" s="1">
        <v>342.079116208671</v>
      </c>
      <c r="N10" s="1">
        <v>305.96940026193602</v>
      </c>
      <c r="O10" s="1">
        <v>363.28328560606099</v>
      </c>
      <c r="P10" s="1">
        <v>373.66046673881698</v>
      </c>
      <c r="Q10" s="1">
        <v>372.50088244871102</v>
      </c>
      <c r="R10" s="1">
        <v>401.76397562691602</v>
      </c>
      <c r="S10" s="1">
        <v>409.625749270293</v>
      </c>
      <c r="T10" s="1">
        <v>415.91978920493801</v>
      </c>
      <c r="U10" s="1">
        <v>477.91830657609898</v>
      </c>
      <c r="V10" s="1">
        <v>480.48815077796598</v>
      </c>
      <c r="W10" s="1">
        <v>482.71639384912902</v>
      </c>
      <c r="X10" s="1">
        <v>482.98794659023503</v>
      </c>
      <c r="Y10" s="1">
        <v>480.445128767119</v>
      </c>
      <c r="Z10" s="1">
        <v>489.008858590915</v>
      </c>
    </row>
    <row r="11" spans="1:28">
      <c r="A11" s="1" t="s">
        <v>1165</v>
      </c>
      <c r="B11" s="1">
        <v>1.79</v>
      </c>
      <c r="C11" s="1">
        <v>1.79</v>
      </c>
      <c r="D11" s="1">
        <v>1.79</v>
      </c>
      <c r="E11" s="1">
        <v>1.79</v>
      </c>
      <c r="F11" s="1">
        <v>1.79</v>
      </c>
      <c r="G11" s="1">
        <v>1.79</v>
      </c>
      <c r="H11" s="1">
        <v>1.79</v>
      </c>
      <c r="I11" s="1">
        <v>1.79</v>
      </c>
      <c r="J11" s="1">
        <v>1.79</v>
      </c>
      <c r="K11" s="1">
        <v>1.79</v>
      </c>
      <c r="L11" s="1">
        <v>1.79</v>
      </c>
      <c r="M11" s="1">
        <v>1.79</v>
      </c>
      <c r="N11" s="1">
        <v>1.79</v>
      </c>
      <c r="O11" s="1">
        <v>1.79</v>
      </c>
      <c r="P11" s="1">
        <v>1.79</v>
      </c>
      <c r="Q11" s="1">
        <v>1.79</v>
      </c>
      <c r="R11" s="1">
        <v>1.79</v>
      </c>
      <c r="S11" s="1">
        <v>1.79</v>
      </c>
      <c r="T11" s="1">
        <v>1.79</v>
      </c>
      <c r="U11" s="1">
        <v>1.79</v>
      </c>
      <c r="V11" s="1">
        <v>1.79</v>
      </c>
      <c r="W11" s="1">
        <v>1.79</v>
      </c>
      <c r="X11" s="1">
        <v>1.79</v>
      </c>
      <c r="Y11" s="1">
        <v>1.79</v>
      </c>
      <c r="Z11" s="1">
        <v>1.79</v>
      </c>
    </row>
    <row r="12" spans="1:28">
      <c r="A12" s="1" t="s">
        <v>1009</v>
      </c>
      <c r="B12" s="1">
        <v>1.27786333333333</v>
      </c>
      <c r="C12" s="1">
        <v>1.34738</v>
      </c>
      <c r="D12" s="1">
        <v>1.5918283333333301</v>
      </c>
      <c r="E12" s="1">
        <v>1.5499499999999999</v>
      </c>
      <c r="F12" s="1">
        <v>1.7248266666666701</v>
      </c>
      <c r="G12" s="1">
        <v>1.9334425</v>
      </c>
      <c r="H12" s="1">
        <v>1.8405625000000001</v>
      </c>
      <c r="I12" s="1">
        <v>1.54191416666667</v>
      </c>
      <c r="J12" s="1">
        <v>1.3597524999999999</v>
      </c>
      <c r="K12" s="1">
        <v>1.3094733333333299</v>
      </c>
      <c r="L12" s="1">
        <v>1.3279734405000001</v>
      </c>
      <c r="M12" s="1">
        <v>1.1950725</v>
      </c>
      <c r="N12" s="1">
        <v>1.19217833333333</v>
      </c>
      <c r="O12" s="1">
        <v>1.28218881008452</v>
      </c>
      <c r="P12" s="1">
        <v>1.0901594863867701</v>
      </c>
      <c r="Q12" s="1">
        <v>0.96946320149673504</v>
      </c>
      <c r="R12" s="1">
        <v>0.96580103065870804</v>
      </c>
      <c r="S12" s="1">
        <v>1.0358430965205401</v>
      </c>
      <c r="T12" s="1">
        <v>1.1093632928169199</v>
      </c>
      <c r="U12" s="1">
        <v>1.33109026245502</v>
      </c>
      <c r="V12" s="1">
        <v>1.3452139760194699</v>
      </c>
      <c r="W12" s="1">
        <v>1.3047580767159199</v>
      </c>
      <c r="X12" s="1">
        <v>1.33841214646451</v>
      </c>
      <c r="Y12" s="1">
        <v>1.4385065442138201</v>
      </c>
      <c r="Z12" s="1">
        <v>1.4530851184701601</v>
      </c>
    </row>
    <row r="13" spans="1:28">
      <c r="A13" s="1" t="s">
        <v>1011</v>
      </c>
      <c r="B13" s="1">
        <v>10.5865575</v>
      </c>
      <c r="C13" s="1">
        <v>12.204244166666699</v>
      </c>
      <c r="D13" s="1">
        <v>12.379065000000001</v>
      </c>
      <c r="E13" s="1" t="s">
        <v>1210</v>
      </c>
      <c r="F13" s="1" t="s">
        <v>1210</v>
      </c>
      <c r="G13" s="1" t="s">
        <v>1210</v>
      </c>
      <c r="H13" s="1" t="s">
        <v>1210</v>
      </c>
      <c r="I13" s="1" t="s">
        <v>1210</v>
      </c>
      <c r="J13" s="1" t="s">
        <v>1210</v>
      </c>
      <c r="K13" s="1" t="s">
        <v>1210</v>
      </c>
      <c r="L13" s="1" t="s">
        <v>1210</v>
      </c>
      <c r="M13" s="1" t="s">
        <v>1210</v>
      </c>
      <c r="N13" s="1" t="s">
        <v>1210</v>
      </c>
      <c r="O13" s="1" t="s">
        <v>1210</v>
      </c>
      <c r="P13" s="1" t="s">
        <v>1210</v>
      </c>
      <c r="Q13" s="1" t="s">
        <v>1210</v>
      </c>
      <c r="R13" s="1" t="s">
        <v>1210</v>
      </c>
      <c r="S13" s="1" t="s">
        <v>1210</v>
      </c>
      <c r="T13" s="1" t="s">
        <v>1210</v>
      </c>
      <c r="U13" s="1" t="s">
        <v>1210</v>
      </c>
      <c r="V13" s="1" t="s">
        <v>1210</v>
      </c>
      <c r="W13" s="1" t="s">
        <v>1210</v>
      </c>
      <c r="X13" s="1" t="s">
        <v>1210</v>
      </c>
      <c r="Y13" s="1" t="s">
        <v>1210</v>
      </c>
      <c r="Z13" s="1" t="s">
        <v>1210</v>
      </c>
    </row>
    <row r="14" spans="1:28">
      <c r="A14" s="1" t="s">
        <v>1005</v>
      </c>
      <c r="B14" s="1">
        <v>0.86025283333333302</v>
      </c>
      <c r="C14" s="1">
        <v>0.79707499999999998</v>
      </c>
      <c r="D14" s="1">
        <v>0.77379968666666699</v>
      </c>
      <c r="E14" s="1">
        <v>0.82403333333333295</v>
      </c>
      <c r="F14" s="1">
        <v>0.89483075000000001</v>
      </c>
      <c r="G14" s="1">
        <v>0.93131666666666701</v>
      </c>
      <c r="H14" s="1">
        <v>0.97216416666666705</v>
      </c>
      <c r="I14" s="1">
        <v>0.98214599999999996</v>
      </c>
      <c r="J14" s="1">
        <v>0.98269550000000006</v>
      </c>
      <c r="K14" s="1">
        <v>0.94542099999999996</v>
      </c>
      <c r="L14" s="1">
        <v>0.89344500000000004</v>
      </c>
      <c r="M14" s="1">
        <v>0.85812380824372803</v>
      </c>
      <c r="N14" s="1">
        <v>0.82161957885304604</v>
      </c>
      <c r="O14" s="1">
        <v>0.80378333333333296</v>
      </c>
      <c r="P14" s="1">
        <v>0.80264999999999997</v>
      </c>
      <c r="Q14" s="1">
        <v>0.78968638888888898</v>
      </c>
      <c r="R14" s="1">
        <v>0.78564534946236597</v>
      </c>
      <c r="S14" s="1">
        <v>0.784541075268817</v>
      </c>
      <c r="T14" s="1">
        <v>0.78434749999999998</v>
      </c>
      <c r="U14" s="1">
        <v>1.0245638185505901</v>
      </c>
      <c r="V14" s="1">
        <v>1.59572157270424</v>
      </c>
      <c r="W14" s="1">
        <v>1.72115480222734</v>
      </c>
      <c r="X14" s="1">
        <v>1.7000166666666701</v>
      </c>
      <c r="Y14" s="1">
        <v>1.7</v>
      </c>
      <c r="Z14" s="1">
        <v>1.7</v>
      </c>
    </row>
    <row r="15" spans="1:28">
      <c r="A15" s="1" t="s">
        <v>1170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</row>
    <row r="16" spans="1:28">
      <c r="A16" s="1" t="s">
        <v>1014</v>
      </c>
      <c r="B16" s="1">
        <v>0.37599996749999998</v>
      </c>
      <c r="C16" s="1">
        <v>0.37599996499999999</v>
      </c>
      <c r="D16" s="1">
        <v>0.37599996250000001</v>
      </c>
      <c r="E16" s="1">
        <v>0.375999979166667</v>
      </c>
      <c r="F16" s="1">
        <v>0.376</v>
      </c>
      <c r="G16" s="1">
        <v>0.376</v>
      </c>
      <c r="H16" s="1">
        <v>0.376</v>
      </c>
      <c r="I16" s="1">
        <v>0.376</v>
      </c>
      <c r="J16" s="1">
        <v>0.376</v>
      </c>
      <c r="K16" s="1">
        <v>0.376</v>
      </c>
      <c r="L16" s="1">
        <v>0.376</v>
      </c>
      <c r="M16" s="1">
        <v>0.376</v>
      </c>
      <c r="N16" s="1">
        <v>0.376</v>
      </c>
      <c r="O16" s="1">
        <v>0.376</v>
      </c>
      <c r="P16" s="1">
        <v>0.376</v>
      </c>
      <c r="Q16" s="1">
        <v>0.376</v>
      </c>
      <c r="R16" s="1">
        <v>0.376</v>
      </c>
      <c r="S16" s="1">
        <v>0.376</v>
      </c>
      <c r="T16" s="1">
        <v>0.376</v>
      </c>
      <c r="U16" s="1">
        <v>0.376</v>
      </c>
      <c r="V16" s="1">
        <v>0.376</v>
      </c>
      <c r="W16" s="1">
        <v>0.376</v>
      </c>
      <c r="X16" s="1">
        <v>0.376</v>
      </c>
      <c r="Y16" s="1">
        <v>0.376</v>
      </c>
      <c r="Z16" s="1">
        <v>0.376</v>
      </c>
    </row>
    <row r="17" spans="1:26">
      <c r="A17" s="1" t="s">
        <v>1007</v>
      </c>
      <c r="B17" s="1">
        <v>41.794168333333303</v>
      </c>
      <c r="C17" s="1">
        <v>43.8921158333333</v>
      </c>
      <c r="D17" s="1">
        <v>46.905651666666699</v>
      </c>
      <c r="E17" s="1">
        <v>49.0854</v>
      </c>
      <c r="F17" s="1">
        <v>52.141666666666701</v>
      </c>
      <c r="G17" s="1">
        <v>55.8066666666667</v>
      </c>
      <c r="H17" s="1">
        <v>57.887999999999998</v>
      </c>
      <c r="I17" s="1">
        <v>58.150039999999997</v>
      </c>
      <c r="J17" s="1">
        <v>59.512658333333299</v>
      </c>
      <c r="K17" s="1">
        <v>64.327475000000007</v>
      </c>
      <c r="L17" s="1">
        <v>68.933233333333305</v>
      </c>
      <c r="M17" s="1">
        <v>68.874875000000003</v>
      </c>
      <c r="N17" s="1">
        <v>68.598275000000001</v>
      </c>
      <c r="O17" s="1">
        <v>69.039066666666699</v>
      </c>
      <c r="P17" s="1">
        <v>69.649291666666699</v>
      </c>
      <c r="Q17" s="1">
        <v>74.1524</v>
      </c>
      <c r="R17" s="1">
        <v>81.8626583333333</v>
      </c>
      <c r="S17" s="1">
        <v>78.103234999999998</v>
      </c>
      <c r="T17" s="1">
        <v>77.641408333333302</v>
      </c>
      <c r="U17" s="1">
        <v>77.946908333333297</v>
      </c>
      <c r="V17" s="1">
        <v>78.468091666666695</v>
      </c>
      <c r="W17" s="1">
        <v>80.437541666666704</v>
      </c>
      <c r="X17" s="1">
        <v>83.466201916666705</v>
      </c>
      <c r="Y17" s="1">
        <v>84.453522500000005</v>
      </c>
      <c r="Z17" s="1">
        <v>84.871391666666696</v>
      </c>
    </row>
    <row r="18" spans="1:26">
      <c r="A18" s="1" t="s">
        <v>1172</v>
      </c>
      <c r="B18" s="1">
        <v>2</v>
      </c>
      <c r="C18" s="1">
        <v>2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2</v>
      </c>
      <c r="O18" s="1">
        <v>2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</row>
    <row r="19" spans="1:26">
      <c r="A19" s="1" t="s">
        <v>1008</v>
      </c>
      <c r="B19" s="1">
        <v>1.3229876666666701E-3</v>
      </c>
      <c r="C19" s="1">
        <v>2.6020549583333301E-3</v>
      </c>
      <c r="D19" s="1">
        <v>4.6127620000000003E-3</v>
      </c>
      <c r="E19" s="1">
        <v>2.4929532916666702E-2</v>
      </c>
      <c r="F19" s="1">
        <v>8.7675000000000003E-2</v>
      </c>
      <c r="G19" s="1">
        <v>0.13900000000000001</v>
      </c>
      <c r="H19" s="1">
        <v>0.17909166666666701</v>
      </c>
      <c r="I19" s="1">
        <v>0.20512708333333299</v>
      </c>
      <c r="J19" s="1">
        <v>0.21602574999999999</v>
      </c>
      <c r="K19" s="1">
        <v>0.21538199999999999</v>
      </c>
      <c r="L19" s="1">
        <v>0.21445641666666701</v>
      </c>
      <c r="M19" s="1">
        <v>0.214607833333333</v>
      </c>
      <c r="N19" s="1">
        <v>0.21363974999999999</v>
      </c>
      <c r="O19" s="1">
        <v>0.279304921788469</v>
      </c>
      <c r="P19" s="1">
        <v>0.29785099999999998</v>
      </c>
      <c r="Q19" s="1">
        <v>0.49746333333333298</v>
      </c>
      <c r="R19" s="1">
        <v>0.83368983333333302</v>
      </c>
      <c r="S19" s="1">
        <v>0.88800524999999997</v>
      </c>
      <c r="T19" s="1">
        <v>1.0224102500000001</v>
      </c>
      <c r="U19" s="1">
        <v>1.5925988333333301</v>
      </c>
      <c r="V19" s="1">
        <v>1.9895628333333299</v>
      </c>
      <c r="W19" s="1">
        <v>1.93234166666667</v>
      </c>
      <c r="X19" s="1">
        <v>2.0376083333333299</v>
      </c>
      <c r="Y19" s="1">
        <v>2.0917833333333302</v>
      </c>
      <c r="Z19" s="1">
        <v>2.439575</v>
      </c>
    </row>
    <row r="20" spans="1:26">
      <c r="A20" s="1" t="s">
        <v>1017</v>
      </c>
      <c r="B20" s="1">
        <v>30.961513333333301</v>
      </c>
      <c r="C20" s="1">
        <v>35.773890833333297</v>
      </c>
      <c r="D20" s="1">
        <v>36.298640833333302</v>
      </c>
      <c r="E20" s="1" t="s">
        <v>1210</v>
      </c>
      <c r="F20" s="1" t="s">
        <v>1210</v>
      </c>
      <c r="G20" s="1" t="s">
        <v>1210</v>
      </c>
      <c r="H20" s="1" t="s">
        <v>1210</v>
      </c>
      <c r="I20" s="1" t="s">
        <v>1210</v>
      </c>
      <c r="J20" s="1" t="s">
        <v>1210</v>
      </c>
      <c r="K20" s="1" t="s">
        <v>1210</v>
      </c>
      <c r="L20" s="1" t="s">
        <v>1210</v>
      </c>
      <c r="M20" s="1" t="s">
        <v>1210</v>
      </c>
      <c r="N20" s="1" t="s">
        <v>1210</v>
      </c>
      <c r="O20" s="1" t="s">
        <v>1210</v>
      </c>
      <c r="P20" s="1" t="s">
        <v>1210</v>
      </c>
      <c r="Q20" s="1" t="s">
        <v>1210</v>
      </c>
      <c r="R20" s="1" t="s">
        <v>1210</v>
      </c>
      <c r="S20" s="1" t="s">
        <v>1210</v>
      </c>
      <c r="T20" s="1" t="s">
        <v>1210</v>
      </c>
      <c r="U20" s="1" t="s">
        <v>1210</v>
      </c>
      <c r="V20" s="1" t="s">
        <v>1210</v>
      </c>
      <c r="W20" s="1" t="s">
        <v>1210</v>
      </c>
      <c r="X20" s="1" t="s">
        <v>1210</v>
      </c>
      <c r="Y20" s="1" t="s">
        <v>1210</v>
      </c>
      <c r="Z20" s="1" t="s">
        <v>1210</v>
      </c>
    </row>
    <row r="21" spans="1:26">
      <c r="A21" s="1" t="s">
        <v>1010</v>
      </c>
      <c r="B21" s="1">
        <v>2</v>
      </c>
      <c r="C21" s="1">
        <v>2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</row>
    <row r="22" spans="1:26">
      <c r="A22" s="1" t="s">
        <v>1012</v>
      </c>
      <c r="B22" s="1">
        <v>511.55243027251601</v>
      </c>
      <c r="C22" s="1">
        <v>583.66937235339606</v>
      </c>
      <c r="D22" s="1">
        <v>589.951774567332</v>
      </c>
      <c r="E22" s="1">
        <v>615.47334931916396</v>
      </c>
      <c r="F22" s="1">
        <v>710.20797703136702</v>
      </c>
      <c r="G22" s="1">
        <v>732.39769326022804</v>
      </c>
      <c r="H22" s="1">
        <v>693.71322649637398</v>
      </c>
      <c r="I22" s="1">
        <v>579.897426172466</v>
      </c>
      <c r="J22" s="1">
        <v>527.33803229157604</v>
      </c>
      <c r="K22" s="1">
        <v>527.25836264962595</v>
      </c>
      <c r="L22" s="1">
        <v>522.42562489517604</v>
      </c>
      <c r="M22" s="1">
        <v>478.63371847636301</v>
      </c>
      <c r="N22" s="1">
        <v>446.00004143278801</v>
      </c>
      <c r="O22" s="1">
        <v>470.29342334139801</v>
      </c>
      <c r="P22" s="1">
        <v>494.794262222947</v>
      </c>
      <c r="Q22" s="1">
        <v>471.24862571893698</v>
      </c>
      <c r="R22" s="1">
        <v>510.55633845425098</v>
      </c>
      <c r="S22" s="1">
        <v>493.89962385223703</v>
      </c>
      <c r="T22" s="1">
        <v>493.757329875312</v>
      </c>
      <c r="U22" s="1">
        <v>591.21169798260996</v>
      </c>
      <c r="V22" s="1">
        <v>592.60561506302201</v>
      </c>
      <c r="W22" s="1">
        <v>580.65674958785803</v>
      </c>
      <c r="X22" s="1">
        <v>555.44645839822601</v>
      </c>
      <c r="Y22" s="1">
        <v>585.95081375715597</v>
      </c>
      <c r="Z22" s="1">
        <v>574.29454964904596</v>
      </c>
    </row>
    <row r="23" spans="1:26">
      <c r="A23" s="1" t="s">
        <v>1171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</row>
    <row r="24" spans="1:26">
      <c r="A24" s="1" t="s">
        <v>322</v>
      </c>
      <c r="B24" s="1">
        <v>35.433173333333301</v>
      </c>
      <c r="C24" s="1">
        <v>36.313285833333303</v>
      </c>
      <c r="D24" s="1">
        <v>41.259365000000003</v>
      </c>
      <c r="E24" s="1">
        <v>43.055428333333303</v>
      </c>
      <c r="F24" s="1">
        <v>44.941605000000003</v>
      </c>
      <c r="G24" s="1">
        <v>47.186414166666701</v>
      </c>
      <c r="H24" s="1">
        <v>48.610319166666699</v>
      </c>
      <c r="I24" s="1">
        <v>46.583284166666701</v>
      </c>
      <c r="J24" s="1">
        <v>45.316466666666699</v>
      </c>
      <c r="K24" s="1">
        <v>44.099975000000001</v>
      </c>
      <c r="L24" s="1">
        <v>45.3070083333333</v>
      </c>
      <c r="M24" s="1">
        <v>41.3485333333333</v>
      </c>
      <c r="N24" s="1">
        <v>43.505183333333299</v>
      </c>
      <c r="O24" s="1">
        <v>48.405266666666698</v>
      </c>
      <c r="P24" s="1">
        <v>45.725812121212101</v>
      </c>
      <c r="Q24" s="1">
        <v>46.670466666666698</v>
      </c>
      <c r="R24" s="1">
        <v>53.437233333333303</v>
      </c>
      <c r="S24" s="1">
        <v>58.597845416666701</v>
      </c>
      <c r="T24" s="1">
        <v>61.029514460784299</v>
      </c>
      <c r="U24" s="1">
        <v>64.151944463278596</v>
      </c>
      <c r="V24" s="1">
        <v>67.195312807389399</v>
      </c>
      <c r="W24" s="1">
        <v>65.121568645066006</v>
      </c>
      <c r="X24" s="1">
        <v>68.389467093542095</v>
      </c>
      <c r="Y24" s="1">
        <v>70.420340535955106</v>
      </c>
      <c r="Z24" s="1">
        <v>74.099566883605206</v>
      </c>
    </row>
    <row r="25" spans="1:26">
      <c r="A25" s="1" t="s">
        <v>1013</v>
      </c>
      <c r="B25" s="1">
        <v>5.0746124999999997</v>
      </c>
      <c r="C25" s="1">
        <v>5.2542583333333299</v>
      </c>
      <c r="D25" s="1">
        <v>5.5101333333333304</v>
      </c>
      <c r="E25" s="1">
        <v>5.8124083333333303</v>
      </c>
      <c r="F25" s="1">
        <v>6.1835416666666703</v>
      </c>
      <c r="G25" s="1">
        <v>6.6069166666666703</v>
      </c>
      <c r="H25" s="1">
        <v>7.17</v>
      </c>
      <c r="I25" s="1">
        <v>7.6591666666666702</v>
      </c>
      <c r="J25" s="1">
        <v>7.9362666666666701</v>
      </c>
      <c r="K25" s="1">
        <v>8.0660624999999992</v>
      </c>
      <c r="L25" s="1">
        <v>8.0116166666666704</v>
      </c>
      <c r="M25" s="1">
        <v>7.8512451612499996</v>
      </c>
      <c r="N25" s="1">
        <v>7.2383206989166702</v>
      </c>
      <c r="O25" s="1">
        <v>7.02</v>
      </c>
      <c r="P25" s="1">
        <v>7.0166666666666702</v>
      </c>
      <c r="Q25" s="1">
        <v>6.9369624999999999</v>
      </c>
      <c r="R25" s="1">
        <v>6.91</v>
      </c>
      <c r="S25" s="1">
        <v>6.91</v>
      </c>
      <c r="T25" s="1">
        <v>6.91</v>
      </c>
      <c r="U25" s="1">
        <v>6.91</v>
      </c>
      <c r="V25" s="1">
        <v>6.91</v>
      </c>
      <c r="W25" s="1">
        <v>6.91</v>
      </c>
      <c r="X25" s="1">
        <v>6.91</v>
      </c>
      <c r="Y25" s="1">
        <v>6.91</v>
      </c>
      <c r="Z25" s="1">
        <v>6.91</v>
      </c>
    </row>
    <row r="26" spans="1:26">
      <c r="A26" s="1" t="s">
        <v>1023</v>
      </c>
      <c r="B26" s="1" t="s">
        <v>1210</v>
      </c>
      <c r="C26" s="1">
        <v>1.73405583333333</v>
      </c>
      <c r="D26" s="1">
        <v>1.75966758333333</v>
      </c>
      <c r="E26" s="1">
        <v>1.8357953848931099</v>
      </c>
      <c r="F26" s="1">
        <v>2.12285951185833</v>
      </c>
      <c r="G26" s="1">
        <v>2.1856595833000001</v>
      </c>
      <c r="H26" s="1">
        <v>2.07817042621667</v>
      </c>
      <c r="I26" s="1">
        <v>1.7329322041916699</v>
      </c>
      <c r="J26" s="1">
        <v>1.57515702795</v>
      </c>
      <c r="K26" s="1">
        <v>1.5727220196</v>
      </c>
      <c r="L26" s="1">
        <v>1.5590719560583299</v>
      </c>
      <c r="M26" s="1">
        <v>1.429002741625</v>
      </c>
      <c r="N26" s="1">
        <v>1.3351956804842799</v>
      </c>
      <c r="O26" s="1">
        <v>1.4078912383694999</v>
      </c>
      <c r="P26" s="1">
        <v>1.47673956845028</v>
      </c>
      <c r="Q26" s="1">
        <v>1.40693658566639</v>
      </c>
      <c r="R26" s="1">
        <v>1.5222099744513</v>
      </c>
      <c r="S26" s="1">
        <v>1.4730513226323501</v>
      </c>
      <c r="T26" s="1">
        <v>1.4741691867940001</v>
      </c>
      <c r="U26" s="1">
        <v>1.76349164694686</v>
      </c>
      <c r="V26" s="1">
        <v>1.7681390242991499</v>
      </c>
      <c r="W26" s="1">
        <v>1.73535271327691</v>
      </c>
      <c r="X26" s="1">
        <v>1.6569854411354299</v>
      </c>
      <c r="Y26" s="1">
        <v>1.74708646136073</v>
      </c>
      <c r="Z26" s="1">
        <v>1.71697049519219</v>
      </c>
    </row>
    <row r="27" spans="1:26">
      <c r="A27" s="1" t="s">
        <v>1015</v>
      </c>
      <c r="B27" s="1">
        <v>3.32419666666667</v>
      </c>
      <c r="C27" s="1">
        <v>3.6507633333333298</v>
      </c>
      <c r="D27" s="1">
        <v>4.2258800000000001</v>
      </c>
      <c r="E27" s="1">
        <v>4.6243952500000001</v>
      </c>
      <c r="F27" s="1">
        <v>5.1022416666666697</v>
      </c>
      <c r="G27" s="1">
        <v>5.84141666666667</v>
      </c>
      <c r="H27" s="1">
        <v>6.3277916666666698</v>
      </c>
      <c r="I27" s="1">
        <v>4.94966666666667</v>
      </c>
      <c r="J27" s="1">
        <v>4.6938333333333304</v>
      </c>
      <c r="K27" s="1">
        <v>5.1167499999999997</v>
      </c>
      <c r="L27" s="1">
        <v>5.8303000000000003</v>
      </c>
      <c r="M27" s="1">
        <v>6.1394083333333302</v>
      </c>
      <c r="N27" s="1">
        <v>6.8268583333333304</v>
      </c>
      <c r="O27" s="1">
        <v>7.1551416666666698</v>
      </c>
      <c r="P27" s="1">
        <v>6.7936249999999996</v>
      </c>
      <c r="Q27" s="1">
        <v>6.8382333333333296</v>
      </c>
      <c r="R27" s="1">
        <v>7.6405250000000002</v>
      </c>
      <c r="S27" s="1">
        <v>8.3989083333333294</v>
      </c>
      <c r="T27" s="1">
        <v>8.9760833333333405</v>
      </c>
      <c r="U27" s="1">
        <v>10.1289916666667</v>
      </c>
      <c r="V27" s="1">
        <v>10.901158333333299</v>
      </c>
      <c r="W27" s="1">
        <v>10.3474166666667</v>
      </c>
      <c r="X27" s="1">
        <v>10.199975</v>
      </c>
      <c r="Y27" s="1">
        <v>10.7558666666667</v>
      </c>
      <c r="Z27" s="1">
        <v>11.456241666666701</v>
      </c>
    </row>
    <row r="28" spans="1:26">
      <c r="A28" s="1" t="s">
        <v>330</v>
      </c>
      <c r="B28" s="1">
        <v>1.0051000000000001</v>
      </c>
      <c r="C28" s="1">
        <v>1.07799166666667</v>
      </c>
      <c r="D28" s="1">
        <v>1.16051666666667</v>
      </c>
      <c r="E28" s="1">
        <v>1.8139328465721301</v>
      </c>
      <c r="F28" s="1">
        <v>1.8294231220756101</v>
      </c>
      <c r="G28" s="1">
        <v>2.3496317093224399</v>
      </c>
      <c r="H28" s="1">
        <v>2.9203630177551898</v>
      </c>
      <c r="I28" s="1">
        <v>3.0774751184780098</v>
      </c>
      <c r="J28" s="1">
        <v>2.9251194495158601</v>
      </c>
      <c r="K28" s="1">
        <v>2.4343900362318802</v>
      </c>
      <c r="L28" s="1">
        <v>2.17532666666667</v>
      </c>
      <c r="M28" s="1">
        <v>1.94705833333333</v>
      </c>
      <c r="N28" s="1">
        <v>1.8337666666666701</v>
      </c>
      <c r="O28" s="1">
        <v>1.99942817314426</v>
      </c>
      <c r="P28" s="1">
        <v>1.7592267105871799</v>
      </c>
      <c r="Q28" s="1">
        <v>1.6728287552565899</v>
      </c>
      <c r="R28" s="1">
        <v>1.9530686111248701</v>
      </c>
      <c r="S28" s="1">
        <v>2.1560891512631102</v>
      </c>
      <c r="T28" s="1">
        <v>2.3529519627666899</v>
      </c>
      <c r="U28" s="1">
        <v>3.3269043827687899</v>
      </c>
      <c r="V28" s="1">
        <v>3.49131342157271</v>
      </c>
      <c r="W28" s="1">
        <v>3.1913894463004802</v>
      </c>
      <c r="X28" s="1">
        <v>3.65382536145755</v>
      </c>
      <c r="Y28" s="1">
        <v>3.9444710972507</v>
      </c>
      <c r="Z28" s="1">
        <v>5.1551787875128099</v>
      </c>
    </row>
    <row r="29" spans="1:26">
      <c r="A29" s="1" t="s">
        <v>1206</v>
      </c>
      <c r="B29" s="1" t="s">
        <v>1210</v>
      </c>
      <c r="C29" s="1" t="s">
        <v>1210</v>
      </c>
      <c r="D29" s="1" t="s">
        <v>1210</v>
      </c>
      <c r="E29" s="1" t="s">
        <v>1210</v>
      </c>
      <c r="F29" s="1" t="s">
        <v>1210</v>
      </c>
      <c r="G29" s="1" t="s">
        <v>1210</v>
      </c>
      <c r="H29" s="1" t="s">
        <v>1210</v>
      </c>
      <c r="I29" s="1" t="s">
        <v>1210</v>
      </c>
      <c r="J29" s="1" t="s">
        <v>1210</v>
      </c>
      <c r="K29" s="1" t="s">
        <v>1210</v>
      </c>
      <c r="L29" s="1" t="s">
        <v>1210</v>
      </c>
      <c r="M29" s="1" t="s">
        <v>1210</v>
      </c>
      <c r="N29" s="1" t="s">
        <v>1210</v>
      </c>
      <c r="O29" s="1" t="s">
        <v>1210</v>
      </c>
      <c r="P29" s="1" t="s">
        <v>1210</v>
      </c>
      <c r="Q29" s="1" t="s">
        <v>1210</v>
      </c>
      <c r="R29" s="1" t="s">
        <v>1210</v>
      </c>
      <c r="S29" s="1" t="s">
        <v>1210</v>
      </c>
      <c r="T29" s="1" t="s">
        <v>1210</v>
      </c>
      <c r="U29" s="1" t="s">
        <v>1210</v>
      </c>
      <c r="V29" s="1" t="s">
        <v>1210</v>
      </c>
      <c r="W29" s="1" t="s">
        <v>1210</v>
      </c>
      <c r="X29" s="1" t="s">
        <v>1210</v>
      </c>
      <c r="Y29" s="1" t="s">
        <v>1210</v>
      </c>
      <c r="Z29" s="1" t="s">
        <v>1210</v>
      </c>
    </row>
    <row r="30" spans="1:26">
      <c r="A30" s="1" t="s">
        <v>1025</v>
      </c>
      <c r="B30" s="1">
        <v>1.4100408333333301</v>
      </c>
      <c r="C30" s="1">
        <v>1.48480583333333</v>
      </c>
      <c r="D30" s="1">
        <v>1.67360166666667</v>
      </c>
      <c r="E30" s="1">
        <v>1.69495666666667</v>
      </c>
      <c r="F30" s="1">
        <v>1.72396333333333</v>
      </c>
      <c r="G30" s="1">
        <v>1.7917225000000001</v>
      </c>
      <c r="H30" s="1">
        <v>1.7905883333333299</v>
      </c>
      <c r="I30" s="1">
        <v>1.7421833333333301</v>
      </c>
      <c r="J30" s="1">
        <v>1.6902283333333299</v>
      </c>
      <c r="K30" s="1">
        <v>1.6643975</v>
      </c>
      <c r="L30" s="1">
        <v>1.58893333333333</v>
      </c>
      <c r="M30" s="1">
        <v>1.5071016666666699</v>
      </c>
      <c r="N30" s="1">
        <v>1.41716666666667</v>
      </c>
      <c r="O30" s="1">
        <v>1.4545692733233</v>
      </c>
      <c r="P30" s="1">
        <v>1.3635094736842099</v>
      </c>
      <c r="Q30" s="1">
        <v>1.25791302014692</v>
      </c>
      <c r="R30" s="1">
        <v>1.24956701649958</v>
      </c>
      <c r="S30" s="1">
        <v>1.25116566976059</v>
      </c>
      <c r="T30" s="1">
        <v>1.2670401230813999</v>
      </c>
      <c r="U30" s="1">
        <v>1.37491084459887</v>
      </c>
      <c r="V30" s="1">
        <v>1.3813468768828601</v>
      </c>
      <c r="W30" s="1">
        <v>1.3808911640528101</v>
      </c>
      <c r="X30" s="1">
        <v>1.3489185654253699</v>
      </c>
      <c r="Y30" s="1">
        <v>1.36421851405475</v>
      </c>
      <c r="Z30" s="1">
        <v>1.3797034297139901</v>
      </c>
    </row>
    <row r="31" spans="1:26">
      <c r="A31" s="1" t="s">
        <v>1016</v>
      </c>
      <c r="B31" s="1">
        <v>0.177888666666667</v>
      </c>
      <c r="C31" s="1">
        <v>1.6818791666666699</v>
      </c>
      <c r="D31" s="1">
        <v>1.7603583333333299</v>
      </c>
      <c r="E31" s="1">
        <v>1.8363833333333299</v>
      </c>
      <c r="F31" s="1">
        <v>2.123275</v>
      </c>
      <c r="G31" s="1">
        <v>2.1847083333333299</v>
      </c>
      <c r="H31" s="1">
        <v>2.076975</v>
      </c>
      <c r="I31" s="1">
        <v>1.7327016666666699</v>
      </c>
      <c r="J31" s="1">
        <v>1.5751089166666701</v>
      </c>
      <c r="K31" s="1">
        <v>1.5741333333333301</v>
      </c>
      <c r="L31" s="1">
        <v>1.5592666666666699</v>
      </c>
      <c r="M31" s="1">
        <v>1.4290499999999999</v>
      </c>
      <c r="N31" s="1">
        <v>1.3371166666666701</v>
      </c>
      <c r="O31" s="1">
        <v>1.40669166666667</v>
      </c>
      <c r="P31" s="1">
        <v>1.47739166666667</v>
      </c>
      <c r="Q31" s="1">
        <v>1.40645833333333</v>
      </c>
      <c r="R31" s="1">
        <v>1.5220499999999999</v>
      </c>
      <c r="S31" s="1">
        <v>1.47356666666667</v>
      </c>
      <c r="T31" s="1">
        <v>1.4741833333333301</v>
      </c>
      <c r="U31" s="1">
        <v>1.7644</v>
      </c>
      <c r="V31" s="1">
        <v>1.7680416666666701</v>
      </c>
      <c r="W31" s="1">
        <v>1.73545833333333</v>
      </c>
      <c r="X31" s="1">
        <v>1.6570416666666701</v>
      </c>
      <c r="Y31" s="1">
        <v>1.7470416666666699</v>
      </c>
      <c r="Z31" s="1">
        <v>1.7163333333333299</v>
      </c>
    </row>
    <row r="32" spans="1:26">
      <c r="A32" s="1" t="s">
        <v>1018</v>
      </c>
      <c r="B32" s="1">
        <v>511.55243027251601</v>
      </c>
      <c r="C32" s="1">
        <v>583.66937235339606</v>
      </c>
      <c r="D32" s="1">
        <v>589.951774567332</v>
      </c>
      <c r="E32" s="1">
        <v>615.47334931916396</v>
      </c>
      <c r="F32" s="1">
        <v>710.20797703136702</v>
      </c>
      <c r="G32" s="1">
        <v>732.39769326022804</v>
      </c>
      <c r="H32" s="1">
        <v>693.71322649637398</v>
      </c>
      <c r="I32" s="1">
        <v>579.897426172466</v>
      </c>
      <c r="J32" s="1">
        <v>527.33803229157604</v>
      </c>
      <c r="K32" s="1">
        <v>527.25836264962595</v>
      </c>
      <c r="L32" s="1">
        <v>522.42562489517604</v>
      </c>
      <c r="M32" s="1">
        <v>478.63371847636301</v>
      </c>
      <c r="N32" s="1">
        <v>446.00004143278801</v>
      </c>
      <c r="O32" s="1">
        <v>470.29342334139801</v>
      </c>
      <c r="P32" s="1">
        <v>494.794262222947</v>
      </c>
      <c r="Q32" s="1">
        <v>471.24862571893698</v>
      </c>
      <c r="R32" s="1">
        <v>510.55633845425098</v>
      </c>
      <c r="S32" s="1">
        <v>493.89962385223703</v>
      </c>
      <c r="T32" s="1">
        <v>493.757329875312</v>
      </c>
      <c r="U32" s="1">
        <v>591.21169798260996</v>
      </c>
      <c r="V32" s="1">
        <v>592.60561506302201</v>
      </c>
      <c r="W32" s="1">
        <v>580.65674958785803</v>
      </c>
      <c r="X32" s="1">
        <v>555.44645839822601</v>
      </c>
      <c r="Y32" s="1">
        <v>585.91101318036897</v>
      </c>
      <c r="Z32" s="1">
        <v>575.58600451094503</v>
      </c>
    </row>
    <row r="33" spans="1:26">
      <c r="A33" s="1" t="s">
        <v>1019</v>
      </c>
      <c r="B33" s="1">
        <v>302.74666666666701</v>
      </c>
      <c r="C33" s="1">
        <v>352.35083333333301</v>
      </c>
      <c r="D33" s="1">
        <v>447.76583333333298</v>
      </c>
      <c r="E33" s="1">
        <v>563.5625</v>
      </c>
      <c r="F33" s="1">
        <v>720.67333333333295</v>
      </c>
      <c r="G33" s="1">
        <v>830.35333333333301</v>
      </c>
      <c r="H33" s="1">
        <v>930.74916666666695</v>
      </c>
      <c r="I33" s="1">
        <v>1082.6199999999999</v>
      </c>
      <c r="J33" s="1">
        <v>1100.9000000000001</v>
      </c>
      <c r="K33" s="1">
        <v>1081.5771666666701</v>
      </c>
      <c r="L33" s="1">
        <v>1028.6835530000001</v>
      </c>
      <c r="M33" s="1">
        <v>1081.8696825</v>
      </c>
      <c r="N33" s="1">
        <v>1185.6908333333299</v>
      </c>
      <c r="O33" s="1">
        <v>1230.17916666667</v>
      </c>
      <c r="P33" s="1">
        <v>1230.74833333333</v>
      </c>
      <c r="Q33" s="1">
        <v>1261.0733333333301</v>
      </c>
      <c r="R33" s="1">
        <v>1442.505625</v>
      </c>
      <c r="S33" s="1">
        <v>1555.09083333333</v>
      </c>
      <c r="T33" s="1">
        <v>1546.6866666666699</v>
      </c>
      <c r="U33" s="1">
        <v>1571.8983333333299</v>
      </c>
      <c r="V33" s="1">
        <v>1654.62666666667</v>
      </c>
      <c r="W33" s="1">
        <v>1729.0550000000001</v>
      </c>
      <c r="X33" s="1">
        <v>1782.8768749999999</v>
      </c>
      <c r="Y33" s="1">
        <v>1845.62289069697</v>
      </c>
      <c r="Z33" s="1">
        <v>1915.0461758333299</v>
      </c>
    </row>
    <row r="34" spans="1:26">
      <c r="A34" s="1" t="s">
        <v>1030</v>
      </c>
      <c r="B34" s="1">
        <v>82.591466666666705</v>
      </c>
      <c r="C34" s="1">
        <v>93.176666666666705</v>
      </c>
      <c r="D34" s="1">
        <v>98.157499999999999</v>
      </c>
      <c r="E34" s="1">
        <v>102.7</v>
      </c>
      <c r="F34" s="1">
        <v>115.876551583333</v>
      </c>
      <c r="G34" s="1">
        <v>123.213333333333</v>
      </c>
      <c r="H34" s="1">
        <v>117.255833333333</v>
      </c>
      <c r="I34" s="1">
        <v>97.787499999999994</v>
      </c>
      <c r="J34" s="1">
        <v>88.7479249022727</v>
      </c>
      <c r="K34" s="1">
        <v>88.646168526140798</v>
      </c>
      <c r="L34" s="1">
        <v>87.926064911331395</v>
      </c>
      <c r="M34" s="1">
        <v>80.615027157526598</v>
      </c>
      <c r="N34" s="1">
        <v>75.336003838854396</v>
      </c>
      <c r="O34" s="1">
        <v>80.035417727784505</v>
      </c>
      <c r="P34" s="1">
        <v>83.278689375901905</v>
      </c>
      <c r="Q34" s="1">
        <v>79.276881476118305</v>
      </c>
      <c r="R34" s="1">
        <v>86.318954184704197</v>
      </c>
      <c r="S34" s="1">
        <v>83.072500000000005</v>
      </c>
      <c r="T34" s="1">
        <v>83.034499999999994</v>
      </c>
      <c r="U34" s="1">
        <v>99.385693542568504</v>
      </c>
      <c r="V34" s="1">
        <v>99.688113636363596</v>
      </c>
      <c r="W34" s="1">
        <v>97.806937771512096</v>
      </c>
      <c r="X34" s="1">
        <v>93.413578908527896</v>
      </c>
      <c r="Y34" s="1">
        <v>98.495178587897598</v>
      </c>
      <c r="Z34" s="1">
        <v>96.795742786988498</v>
      </c>
    </row>
    <row r="35" spans="1:26">
      <c r="A35" s="1" t="s">
        <v>1020</v>
      </c>
      <c r="B35" s="1">
        <v>2624.0833333333298</v>
      </c>
      <c r="C35" s="1">
        <v>2946.25</v>
      </c>
      <c r="D35" s="1">
        <v>3744.4166666666702</v>
      </c>
      <c r="E35" s="1">
        <v>3807.8333333333298</v>
      </c>
      <c r="F35" s="1">
        <v>3840.75</v>
      </c>
      <c r="G35" s="1">
        <v>3916.3333333333298</v>
      </c>
      <c r="H35" s="1">
        <v>3912.0833333333298</v>
      </c>
      <c r="I35" s="1">
        <v>3973.3333333333298</v>
      </c>
      <c r="J35" s="1">
        <v>4016.25</v>
      </c>
      <c r="K35" s="1">
        <v>4092.5</v>
      </c>
      <c r="L35" s="1">
        <v>4103.25</v>
      </c>
      <c r="M35" s="1">
        <v>4056.1666666666702</v>
      </c>
      <c r="N35" s="1">
        <v>4054.1666666666702</v>
      </c>
      <c r="O35" s="1">
        <v>4139.3333333333303</v>
      </c>
      <c r="P35" s="1">
        <v>4184.9166666666697</v>
      </c>
      <c r="Q35" s="1">
        <v>4058.5</v>
      </c>
      <c r="R35" s="1">
        <v>4033</v>
      </c>
      <c r="S35" s="1">
        <v>4027.25</v>
      </c>
      <c r="T35" s="1">
        <v>4037.5</v>
      </c>
      <c r="U35" s="1">
        <v>4067.75</v>
      </c>
      <c r="V35" s="1">
        <v>4058.6945788530502</v>
      </c>
      <c r="W35" s="1">
        <v>4050.5799859191002</v>
      </c>
      <c r="X35" s="1">
        <v>4051.1669002816202</v>
      </c>
      <c r="Y35" s="1">
        <v>4061.1489631336399</v>
      </c>
      <c r="Z35" s="1">
        <v>4092.7832190087802</v>
      </c>
    </row>
    <row r="36" spans="1:26">
      <c r="A36" s="1" t="s">
        <v>1021</v>
      </c>
      <c r="B36" s="1">
        <v>511.55243027251601</v>
      </c>
      <c r="C36" s="1">
        <v>583.66937235339606</v>
      </c>
      <c r="D36" s="1">
        <v>589.951774567332</v>
      </c>
      <c r="E36" s="1">
        <v>615.47334931916396</v>
      </c>
      <c r="F36" s="1">
        <v>710.20797703136702</v>
      </c>
      <c r="G36" s="1">
        <v>732.39769326022804</v>
      </c>
      <c r="H36" s="1">
        <v>693.71322649637398</v>
      </c>
      <c r="I36" s="1">
        <v>579.897426172466</v>
      </c>
      <c r="J36" s="1">
        <v>527.33803229157604</v>
      </c>
      <c r="K36" s="1">
        <v>527.25836264962595</v>
      </c>
      <c r="L36" s="1">
        <v>522.42562489517604</v>
      </c>
      <c r="M36" s="1">
        <v>478.63371847636301</v>
      </c>
      <c r="N36" s="1">
        <v>446.00004143278801</v>
      </c>
      <c r="O36" s="1">
        <v>470.29342334139801</v>
      </c>
      <c r="P36" s="1">
        <v>494.794262222947</v>
      </c>
      <c r="Q36" s="1">
        <v>471.24862571893698</v>
      </c>
      <c r="R36" s="1">
        <v>510.55633845425098</v>
      </c>
      <c r="S36" s="1">
        <v>493.89962385223703</v>
      </c>
      <c r="T36" s="1">
        <v>493.757329875312</v>
      </c>
      <c r="U36" s="1">
        <v>591.21169798260996</v>
      </c>
      <c r="V36" s="1">
        <v>592.60561506302201</v>
      </c>
      <c r="W36" s="1">
        <v>580.65674958785803</v>
      </c>
      <c r="X36" s="1">
        <v>555.44645839822601</v>
      </c>
      <c r="Y36" s="1">
        <v>585.91101318036897</v>
      </c>
      <c r="Z36" s="1">
        <v>575.58600451094503</v>
      </c>
    </row>
    <row r="37" spans="1:26">
      <c r="A37" s="1" t="s">
        <v>1033</v>
      </c>
      <c r="B37" s="1">
        <v>1.36352163583333</v>
      </c>
      <c r="C37" s="1">
        <v>1.3845980283333299</v>
      </c>
      <c r="D37" s="1">
        <v>1.4835053016666699</v>
      </c>
      <c r="E37" s="1">
        <v>1.48570481916667</v>
      </c>
      <c r="F37" s="1">
        <v>1.485394095</v>
      </c>
      <c r="G37" s="1">
        <v>1.548839955</v>
      </c>
      <c r="H37" s="1">
        <v>1.5703428341666701</v>
      </c>
      <c r="I37" s="1">
        <v>1.4010145475</v>
      </c>
      <c r="J37" s="1">
        <v>1.3012815950000001</v>
      </c>
      <c r="K37" s="1">
        <v>1.2114051341666701</v>
      </c>
      <c r="L37" s="1">
        <v>1.1343447258333299</v>
      </c>
      <c r="M37" s="1">
        <v>1.0740456216666701</v>
      </c>
      <c r="N37" s="1">
        <v>1.06708691833333</v>
      </c>
      <c r="O37" s="1">
        <v>1.1415354059127001</v>
      </c>
      <c r="P37" s="1">
        <v>1.03011273517598</v>
      </c>
      <c r="Q37" s="1">
        <v>0.98925815863636402</v>
      </c>
      <c r="R37" s="1">
        <v>0.99936474359307403</v>
      </c>
      <c r="S37" s="1">
        <v>1.0301373637301601</v>
      </c>
      <c r="T37" s="1">
        <v>1.10474713237886</v>
      </c>
      <c r="U37" s="1">
        <v>1.27878620362554</v>
      </c>
      <c r="V37" s="1">
        <v>1.3256151637482001</v>
      </c>
      <c r="W37" s="1">
        <v>1.2979358464603901</v>
      </c>
      <c r="X37" s="1">
        <v>1.2958179281353399</v>
      </c>
      <c r="Y37" s="1">
        <v>1.32679336266012</v>
      </c>
      <c r="Z37" s="1">
        <v>1.34115267222386</v>
      </c>
    </row>
    <row r="38" spans="1:26">
      <c r="A38" s="1" t="s">
        <v>1174</v>
      </c>
      <c r="B38" s="1">
        <v>0.83333000000000002</v>
      </c>
      <c r="C38" s="1">
        <v>0.83333000000000002</v>
      </c>
      <c r="D38" s="1">
        <v>0.83333000000000002</v>
      </c>
      <c r="E38" s="1">
        <v>0.83333000000000002</v>
      </c>
      <c r="F38" s="1">
        <v>0.83333000000000002</v>
      </c>
      <c r="G38" s="1">
        <v>0.83333000000000002</v>
      </c>
      <c r="H38" s="1">
        <v>0.83333000000000002</v>
      </c>
      <c r="I38" s="1">
        <v>0.83333000000000002</v>
      </c>
      <c r="J38" s="1">
        <v>0.83333000000000002</v>
      </c>
      <c r="K38" s="1">
        <v>0.83333000000000002</v>
      </c>
      <c r="L38" s="1">
        <v>0.83333000000000002</v>
      </c>
      <c r="M38" s="1">
        <v>0.83333000000000002</v>
      </c>
      <c r="N38" s="1">
        <v>0.83333000000000002</v>
      </c>
      <c r="O38" s="1">
        <v>0.83333000000000002</v>
      </c>
      <c r="P38" s="1">
        <v>0.83333000000000002</v>
      </c>
      <c r="Q38" s="1">
        <v>0.83333000000000002</v>
      </c>
      <c r="R38" s="1">
        <v>0.83333000000000002</v>
      </c>
      <c r="S38" s="1">
        <v>0.83333000000000002</v>
      </c>
      <c r="T38" s="1">
        <v>0.83333000000000002</v>
      </c>
      <c r="U38" s="1">
        <v>0.83333000000000002</v>
      </c>
      <c r="V38" s="1">
        <v>0.83333000000000002</v>
      </c>
      <c r="W38" s="1">
        <v>0.83333000000000002</v>
      </c>
      <c r="X38" s="1">
        <v>0.83333000000000002</v>
      </c>
      <c r="Y38" s="1">
        <v>0.83333000000000002</v>
      </c>
      <c r="Z38" s="1">
        <v>0.83333000000000002</v>
      </c>
    </row>
    <row r="39" spans="1:26">
      <c r="A39" s="1" t="s">
        <v>1034</v>
      </c>
      <c r="B39" s="1">
        <v>511.55243027251601</v>
      </c>
      <c r="C39" s="1">
        <v>583.66937235339606</v>
      </c>
      <c r="D39" s="1">
        <v>589.951774567332</v>
      </c>
      <c r="E39" s="1">
        <v>615.47334931916396</v>
      </c>
      <c r="F39" s="1">
        <v>710.20797703136702</v>
      </c>
      <c r="G39" s="1">
        <v>732.39769326022804</v>
      </c>
      <c r="H39" s="1">
        <v>693.71322649637398</v>
      </c>
      <c r="I39" s="1">
        <v>579.897426172466</v>
      </c>
      <c r="J39" s="1">
        <v>527.33803229157604</v>
      </c>
      <c r="K39" s="1">
        <v>527.25836264962595</v>
      </c>
      <c r="L39" s="1">
        <v>522.42562489517604</v>
      </c>
      <c r="M39" s="1">
        <v>478.63371847636301</v>
      </c>
      <c r="N39" s="1">
        <v>446.00004143278801</v>
      </c>
      <c r="O39" s="1">
        <v>470.29342334139801</v>
      </c>
      <c r="P39" s="1">
        <v>494.794262222947</v>
      </c>
      <c r="Q39" s="1">
        <v>471.24862571893698</v>
      </c>
      <c r="R39" s="1">
        <v>510.55633845425098</v>
      </c>
      <c r="S39" s="1">
        <v>493.89962385223703</v>
      </c>
      <c r="T39" s="1">
        <v>493.757329875312</v>
      </c>
      <c r="U39" s="1">
        <v>591.21169798260996</v>
      </c>
      <c r="V39" s="1">
        <v>592.60561506302201</v>
      </c>
      <c r="W39" s="1">
        <v>580.65674958785803</v>
      </c>
      <c r="X39" s="1">
        <v>555.44645839822601</v>
      </c>
      <c r="Y39" s="1">
        <v>585.91101318036897</v>
      </c>
      <c r="Z39" s="1">
        <v>575.58600451094503</v>
      </c>
    </row>
    <row r="40" spans="1:26">
      <c r="A40" s="1" t="s">
        <v>1024</v>
      </c>
      <c r="B40" s="1">
        <v>511.55243027251601</v>
      </c>
      <c r="C40" s="1">
        <v>583.66937235339606</v>
      </c>
      <c r="D40" s="1">
        <v>589.951774567332</v>
      </c>
      <c r="E40" s="1">
        <v>615.47334931916396</v>
      </c>
      <c r="F40" s="1">
        <v>710.20797703136702</v>
      </c>
      <c r="G40" s="1">
        <v>732.39769326022804</v>
      </c>
      <c r="H40" s="1">
        <v>693.71322649637398</v>
      </c>
      <c r="I40" s="1">
        <v>579.897426172466</v>
      </c>
      <c r="J40" s="1">
        <v>527.33803229157604</v>
      </c>
      <c r="K40" s="1">
        <v>527.25836264962595</v>
      </c>
      <c r="L40" s="1">
        <v>522.42562489517604</v>
      </c>
      <c r="M40" s="1">
        <v>478.63371847636301</v>
      </c>
      <c r="N40" s="1">
        <v>446.00004143278801</v>
      </c>
      <c r="O40" s="1">
        <v>470.29342334139801</v>
      </c>
      <c r="P40" s="1">
        <v>494.794262222947</v>
      </c>
      <c r="Q40" s="1">
        <v>471.24862571893698</v>
      </c>
      <c r="R40" s="1">
        <v>510.55633845425098</v>
      </c>
      <c r="S40" s="1">
        <v>493.89962385223703</v>
      </c>
      <c r="T40" s="1">
        <v>493.757329875312</v>
      </c>
      <c r="U40" s="1">
        <v>591.21169798260996</v>
      </c>
      <c r="V40" s="1">
        <v>592.60561506302201</v>
      </c>
      <c r="W40" s="1">
        <v>580.65674958785803</v>
      </c>
      <c r="X40" s="1">
        <v>555.44645839822601</v>
      </c>
      <c r="Y40" s="1">
        <v>585.91101318036897</v>
      </c>
      <c r="Z40" s="1">
        <v>575.58600451094503</v>
      </c>
    </row>
    <row r="41" spans="1:26">
      <c r="A41" s="1" t="s">
        <v>1211</v>
      </c>
      <c r="B41" s="1" t="s">
        <v>1210</v>
      </c>
      <c r="C41" s="1" t="s">
        <v>1210</v>
      </c>
      <c r="D41" s="1" t="s">
        <v>1210</v>
      </c>
      <c r="E41" s="1" t="s">
        <v>1210</v>
      </c>
      <c r="F41" s="1" t="s">
        <v>1210</v>
      </c>
      <c r="G41" s="1" t="s">
        <v>1210</v>
      </c>
      <c r="H41" s="1" t="s">
        <v>1210</v>
      </c>
      <c r="I41" s="1" t="s">
        <v>1210</v>
      </c>
      <c r="J41" s="1" t="s">
        <v>1210</v>
      </c>
      <c r="K41" s="1" t="s">
        <v>1210</v>
      </c>
      <c r="L41" s="1" t="s">
        <v>1210</v>
      </c>
      <c r="M41" s="1" t="s">
        <v>1210</v>
      </c>
      <c r="N41" s="1" t="s">
        <v>1210</v>
      </c>
      <c r="O41" s="1" t="s">
        <v>1210</v>
      </c>
      <c r="P41" s="1" t="s">
        <v>1210</v>
      </c>
      <c r="Q41" s="1" t="s">
        <v>1210</v>
      </c>
      <c r="R41" s="1" t="s">
        <v>1210</v>
      </c>
      <c r="S41" s="1" t="s">
        <v>1210</v>
      </c>
      <c r="T41" s="1" t="s">
        <v>1210</v>
      </c>
      <c r="U41" s="1" t="s">
        <v>1210</v>
      </c>
      <c r="V41" s="1" t="s">
        <v>1210</v>
      </c>
      <c r="W41" s="1" t="s">
        <v>1210</v>
      </c>
      <c r="X41" s="1" t="s">
        <v>1210</v>
      </c>
      <c r="Y41" s="1" t="s">
        <v>1210</v>
      </c>
      <c r="Z41" s="1" t="s">
        <v>1210</v>
      </c>
    </row>
    <row r="42" spans="1:26">
      <c r="A42" s="1" t="s">
        <v>1037</v>
      </c>
      <c r="B42" s="1">
        <v>412.26666666666699</v>
      </c>
      <c r="C42" s="1">
        <v>419.29500000000002</v>
      </c>
      <c r="D42" s="1">
        <v>460.28750000000002</v>
      </c>
      <c r="E42" s="1">
        <v>508.77666666666698</v>
      </c>
      <c r="F42" s="1">
        <v>539.58749999999998</v>
      </c>
      <c r="G42" s="1">
        <v>634.93833333333305</v>
      </c>
      <c r="H42" s="1">
        <v>688.93666666666695</v>
      </c>
      <c r="I42" s="1">
        <v>691.39750000000004</v>
      </c>
      <c r="J42" s="1">
        <v>609.52916666666704</v>
      </c>
      <c r="K42" s="1">
        <v>559.76750000000004</v>
      </c>
      <c r="L42" s="1">
        <v>530.27499999999998</v>
      </c>
      <c r="M42" s="1">
        <v>522.46416666666698</v>
      </c>
      <c r="N42" s="1">
        <v>522.46103583333297</v>
      </c>
      <c r="O42" s="1">
        <v>560.85989484127003</v>
      </c>
      <c r="P42" s="1">
        <v>510.24916666666701</v>
      </c>
      <c r="Q42" s="1">
        <v>483.66750000000002</v>
      </c>
      <c r="R42" s="1">
        <v>486.47130339105303</v>
      </c>
      <c r="S42" s="1">
        <v>495.272877645503</v>
      </c>
      <c r="T42" s="1">
        <v>570.34821612743997</v>
      </c>
      <c r="U42" s="1">
        <v>654.12408425419596</v>
      </c>
      <c r="V42" s="1">
        <v>676.95773604465705</v>
      </c>
      <c r="W42" s="1">
        <v>648.83379259826097</v>
      </c>
      <c r="X42" s="1">
        <v>641.27681306639499</v>
      </c>
      <c r="Y42" s="1">
        <v>702.89742256152897</v>
      </c>
      <c r="Z42" s="1">
        <v>792.72720610316799</v>
      </c>
    </row>
    <row r="43" spans="1:26">
      <c r="A43" s="1" t="s">
        <v>147</v>
      </c>
      <c r="B43" s="1">
        <v>8.3141750000000005</v>
      </c>
      <c r="C43" s="1">
        <v>8.2898166666666704</v>
      </c>
      <c r="D43" s="1">
        <v>8.2789583333333301</v>
      </c>
      <c r="E43" s="1">
        <v>8.2782499999999999</v>
      </c>
      <c r="F43" s="1">
        <v>8.2785041666666697</v>
      </c>
      <c r="G43" s="1">
        <v>8.2770683333333306</v>
      </c>
      <c r="H43" s="1">
        <v>8.2769575</v>
      </c>
      <c r="I43" s="1">
        <v>8.2770366666666693</v>
      </c>
      <c r="J43" s="1">
        <v>8.2768008333333292</v>
      </c>
      <c r="K43" s="1">
        <v>8.1943166666666691</v>
      </c>
      <c r="L43" s="1">
        <v>7.9734383333333296</v>
      </c>
      <c r="M43" s="1">
        <v>7.6075324999999996</v>
      </c>
      <c r="N43" s="1">
        <v>6.9486549999999996</v>
      </c>
      <c r="O43" s="1">
        <v>6.8314160517666602</v>
      </c>
      <c r="P43" s="1">
        <v>6.7702690287094001</v>
      </c>
      <c r="Q43" s="1">
        <v>6.4614613265500704</v>
      </c>
      <c r="R43" s="1">
        <v>6.3123328268318604</v>
      </c>
      <c r="S43" s="1">
        <v>6.19575834608231</v>
      </c>
      <c r="T43" s="1">
        <v>6.1434340944886703</v>
      </c>
      <c r="U43" s="1">
        <v>6.22748867298455</v>
      </c>
      <c r="V43" s="1">
        <v>6.6444778294468003</v>
      </c>
      <c r="W43" s="1">
        <v>6.7587550863359702</v>
      </c>
      <c r="X43" s="1">
        <v>6.6159571773543897</v>
      </c>
      <c r="Y43" s="1">
        <v>6.9083850099290096</v>
      </c>
      <c r="Z43" s="1">
        <v>6.9007672694492497</v>
      </c>
    </row>
    <row r="44" spans="1:26">
      <c r="A44" s="1" t="s">
        <v>421</v>
      </c>
      <c r="B44" s="1">
        <v>1036.6864166666701</v>
      </c>
      <c r="C44" s="1">
        <v>1140.9629416666701</v>
      </c>
      <c r="D44" s="1">
        <v>1426.0374583333301</v>
      </c>
      <c r="E44" s="1">
        <v>1756.23084833333</v>
      </c>
      <c r="F44" s="1">
        <v>2087.9038416666699</v>
      </c>
      <c r="G44" s="1">
        <v>2299.63315583333</v>
      </c>
      <c r="H44" s="1">
        <v>2504.2413308333298</v>
      </c>
      <c r="I44" s="1">
        <v>2877.6524583333298</v>
      </c>
      <c r="J44" s="1">
        <v>2628.6129025</v>
      </c>
      <c r="K44" s="1">
        <v>2320.8341766666699</v>
      </c>
      <c r="L44" s="1">
        <v>2361.1394074999998</v>
      </c>
      <c r="M44" s="1">
        <v>2078.29183666667</v>
      </c>
      <c r="N44" s="1">
        <v>1967.7113091666699</v>
      </c>
      <c r="O44" s="1">
        <v>2158.25590299025</v>
      </c>
      <c r="P44" s="1">
        <v>1898.56963600842</v>
      </c>
      <c r="Q44" s="1">
        <v>1848.1394699518301</v>
      </c>
      <c r="R44" s="1">
        <v>1796.8959123110001</v>
      </c>
      <c r="S44" s="1">
        <v>1868.7853270907999</v>
      </c>
      <c r="T44" s="1">
        <v>2001.781048176</v>
      </c>
      <c r="U44" s="1">
        <v>2741.88085479965</v>
      </c>
      <c r="V44" s="1">
        <v>3054.1216732108101</v>
      </c>
      <c r="W44" s="1">
        <v>2951.3274023476001</v>
      </c>
      <c r="X44" s="1">
        <v>2955.70396997842</v>
      </c>
      <c r="Y44" s="1">
        <v>3280.83163119763</v>
      </c>
      <c r="Z44" s="1">
        <v>3694.8540719645298</v>
      </c>
    </row>
    <row r="45" spans="1:26">
      <c r="A45" s="1" t="s">
        <v>1026</v>
      </c>
      <c r="B45" s="1">
        <v>383.65999150808801</v>
      </c>
      <c r="C45" s="1">
        <v>437.747087471253</v>
      </c>
      <c r="D45" s="1">
        <v>442.45883594005699</v>
      </c>
      <c r="E45" s="1">
        <v>461.79299846316201</v>
      </c>
      <c r="F45" s="1">
        <v>532.65598277352501</v>
      </c>
      <c r="G45" s="1">
        <v>549.298269945171</v>
      </c>
      <c r="H45" s="1">
        <v>520.28491987228006</v>
      </c>
      <c r="I45" s="1">
        <v>434.92306962934902</v>
      </c>
      <c r="J45" s="1">
        <v>395.503524218682</v>
      </c>
      <c r="K45" s="1">
        <v>395.44377198721998</v>
      </c>
      <c r="L45" s="1">
        <v>391.81921867138198</v>
      </c>
      <c r="M45" s="1">
        <v>358.97528885727201</v>
      </c>
      <c r="N45" s="1">
        <v>334.50003107459099</v>
      </c>
      <c r="O45" s="1">
        <v>352.72006750604902</v>
      </c>
      <c r="P45" s="1">
        <v>371.09569666721097</v>
      </c>
      <c r="Q45" s="1">
        <v>353.43646928920299</v>
      </c>
      <c r="R45" s="1">
        <v>382.91725384068798</v>
      </c>
      <c r="S45" s="1">
        <v>370.424717889178</v>
      </c>
      <c r="T45" s="1">
        <v>370.31799740648398</v>
      </c>
      <c r="U45" s="1">
        <v>443.40877348695699</v>
      </c>
      <c r="V45" s="1">
        <v>444.454211297266</v>
      </c>
      <c r="W45" s="1">
        <v>435.49256219089301</v>
      </c>
      <c r="X45" s="1">
        <v>416.584843798669</v>
      </c>
      <c r="Y45" s="1">
        <v>439.46311031786701</v>
      </c>
      <c r="Z45" s="1">
        <v>430.72091223678501</v>
      </c>
    </row>
    <row r="46" spans="1:26">
      <c r="A46" s="1" t="s">
        <v>1040</v>
      </c>
      <c r="B46" s="1">
        <v>0.50184917500000004</v>
      </c>
      <c r="C46" s="1">
        <v>1.3134475999999999</v>
      </c>
      <c r="D46" s="1">
        <v>1.6066598830652601</v>
      </c>
      <c r="E46" s="1">
        <v>4.0183333322313999</v>
      </c>
      <c r="F46" s="1">
        <v>21.8183333273501</v>
      </c>
      <c r="G46" s="1">
        <v>206.61749994333999</v>
      </c>
      <c r="H46" s="1">
        <v>346.48499990498402</v>
      </c>
      <c r="I46" s="1">
        <v>405.17818323067002</v>
      </c>
      <c r="J46" s="1">
        <v>399.47579166666702</v>
      </c>
      <c r="K46" s="1">
        <v>473.90800833333299</v>
      </c>
      <c r="L46" s="1">
        <v>468.27882499999998</v>
      </c>
      <c r="M46" s="1">
        <v>516.74989166666705</v>
      </c>
      <c r="N46" s="1">
        <v>559.29250833333299</v>
      </c>
      <c r="O46" s="1">
        <v>809.78583333333302</v>
      </c>
      <c r="P46" s="1">
        <v>905.91345833333298</v>
      </c>
      <c r="Q46" s="1">
        <v>919.49130000000002</v>
      </c>
      <c r="R46" s="1">
        <v>919.75501666666696</v>
      </c>
      <c r="S46" s="1">
        <v>919.56590735488101</v>
      </c>
      <c r="T46" s="1">
        <v>925.22628253199696</v>
      </c>
      <c r="U46" s="1">
        <v>925.98496128039301</v>
      </c>
      <c r="V46" s="1">
        <v>1010.30275716866</v>
      </c>
      <c r="W46" s="1">
        <v>1464.41793163743</v>
      </c>
      <c r="X46" s="1">
        <v>1622.5235016229201</v>
      </c>
      <c r="Y46" s="1">
        <v>1647.76012727639</v>
      </c>
      <c r="Z46" s="1">
        <v>1851.1221618326099</v>
      </c>
    </row>
    <row r="47" spans="1:26">
      <c r="A47" s="1" t="s">
        <v>1042</v>
      </c>
      <c r="B47" s="1">
        <v>511.55243027251601</v>
      </c>
      <c r="C47" s="1">
        <v>583.66937235339606</v>
      </c>
      <c r="D47" s="1">
        <v>589.951774567332</v>
      </c>
      <c r="E47" s="1">
        <v>615.47334931916396</v>
      </c>
      <c r="F47" s="1">
        <v>710.20797703136702</v>
      </c>
      <c r="G47" s="1">
        <v>732.39769326022804</v>
      </c>
      <c r="H47" s="1">
        <v>693.71322649637398</v>
      </c>
      <c r="I47" s="1">
        <v>579.897426172466</v>
      </c>
      <c r="J47" s="1">
        <v>527.33803229157604</v>
      </c>
      <c r="K47" s="1">
        <v>527.25836264962595</v>
      </c>
      <c r="L47" s="1">
        <v>522.42562489517604</v>
      </c>
      <c r="M47" s="1">
        <v>478.63371847636301</v>
      </c>
      <c r="N47" s="1">
        <v>446.00004143278801</v>
      </c>
      <c r="O47" s="1">
        <v>470.29342334139801</v>
      </c>
      <c r="P47" s="1">
        <v>494.794262222947</v>
      </c>
      <c r="Q47" s="1">
        <v>471.24862571893698</v>
      </c>
      <c r="R47" s="1">
        <v>510.55633845425098</v>
      </c>
      <c r="S47" s="1">
        <v>493.89962385223703</v>
      </c>
      <c r="T47" s="1">
        <v>493.757329875312</v>
      </c>
      <c r="U47" s="1">
        <v>591.21169798260996</v>
      </c>
      <c r="V47" s="1">
        <v>592.60561506302201</v>
      </c>
      <c r="W47" s="1">
        <v>580.65674958785803</v>
      </c>
      <c r="X47" s="1">
        <v>555.44645839822601</v>
      </c>
      <c r="Y47" s="1">
        <v>585.91101318036897</v>
      </c>
      <c r="Z47" s="1">
        <v>575.58600451094503</v>
      </c>
    </row>
    <row r="48" spans="1:26">
      <c r="A48" s="1" t="s">
        <v>1028</v>
      </c>
      <c r="B48" s="1">
        <v>207.68916666666701</v>
      </c>
      <c r="C48" s="1">
        <v>232.5975</v>
      </c>
      <c r="D48" s="1">
        <v>257.22916666666703</v>
      </c>
      <c r="E48" s="1">
        <v>285.68469483333303</v>
      </c>
      <c r="F48" s="1">
        <v>308.18666666666701</v>
      </c>
      <c r="G48" s="1">
        <v>328.870833333333</v>
      </c>
      <c r="H48" s="1">
        <v>359.81752688172003</v>
      </c>
      <c r="I48" s="1">
        <v>398.662222222222</v>
      </c>
      <c r="J48" s="1">
        <v>437.935</v>
      </c>
      <c r="K48" s="1">
        <v>477.786741487455</v>
      </c>
      <c r="L48" s="1">
        <v>511.30181794034797</v>
      </c>
      <c r="M48" s="1">
        <v>516.61739023297503</v>
      </c>
      <c r="N48" s="1">
        <v>526.23551344086002</v>
      </c>
      <c r="O48" s="1">
        <v>573.287956733231</v>
      </c>
      <c r="P48" s="1">
        <v>525.829200716846</v>
      </c>
      <c r="Q48" s="1">
        <v>505.664239919355</v>
      </c>
      <c r="R48" s="1">
        <v>502.90146198156702</v>
      </c>
      <c r="S48" s="1">
        <v>499.76683256528401</v>
      </c>
      <c r="T48" s="1">
        <v>538.31720027905806</v>
      </c>
      <c r="U48" s="1">
        <v>534.56576996927799</v>
      </c>
      <c r="V48" s="1">
        <v>544.73936722901999</v>
      </c>
      <c r="W48" s="1">
        <v>567.51309030977995</v>
      </c>
      <c r="X48" s="1">
        <v>576.97250124807999</v>
      </c>
      <c r="Y48" s="1">
        <v>587.29459568612401</v>
      </c>
      <c r="Z48" s="1">
        <v>584.90085496230404</v>
      </c>
    </row>
    <row r="49" spans="1:26">
      <c r="A49" s="1" t="s">
        <v>1029</v>
      </c>
      <c r="B49" s="1">
        <v>511.55243027251601</v>
      </c>
      <c r="C49" s="1">
        <v>583.66937235339606</v>
      </c>
      <c r="D49" s="1">
        <v>589.951774567332</v>
      </c>
      <c r="E49" s="1">
        <v>615.47334931916396</v>
      </c>
      <c r="F49" s="1">
        <v>710.20797703136702</v>
      </c>
      <c r="G49" s="1">
        <v>732.39769326022804</v>
      </c>
      <c r="H49" s="1">
        <v>693.71322649637398</v>
      </c>
      <c r="I49" s="1">
        <v>579.897426172466</v>
      </c>
      <c r="J49" s="1">
        <v>527.33803229157604</v>
      </c>
      <c r="K49" s="1">
        <v>527.25836264962595</v>
      </c>
      <c r="L49" s="1">
        <v>522.42562489517604</v>
      </c>
      <c r="M49" s="1">
        <v>478.63371847636301</v>
      </c>
      <c r="N49" s="1">
        <v>446.00004143278801</v>
      </c>
      <c r="O49" s="1">
        <v>470.29342334139801</v>
      </c>
      <c r="P49" s="1">
        <v>494.794262222947</v>
      </c>
      <c r="Q49" s="1">
        <v>471.24862571893698</v>
      </c>
      <c r="R49" s="1">
        <v>510.55633845425098</v>
      </c>
      <c r="S49" s="1">
        <v>493.89962385223703</v>
      </c>
      <c r="T49" s="1">
        <v>493.757329875312</v>
      </c>
      <c r="U49" s="1">
        <v>591.21169798260996</v>
      </c>
      <c r="V49" s="1">
        <v>592.60561506302201</v>
      </c>
      <c r="W49" s="1">
        <v>580.65674958785803</v>
      </c>
      <c r="X49" s="1">
        <v>555.44645839822601</v>
      </c>
      <c r="Y49" s="1">
        <v>585.91101318036897</v>
      </c>
      <c r="Z49" s="1">
        <v>575.58600451094503</v>
      </c>
    </row>
    <row r="50" spans="1:26">
      <c r="A50" s="1" t="s">
        <v>1046</v>
      </c>
      <c r="B50" s="1">
        <v>5.4341611666666703</v>
      </c>
      <c r="C50" s="1">
        <v>6.1605825833333299</v>
      </c>
      <c r="D50" s="1">
        <v>6.3632856666666697</v>
      </c>
      <c r="E50" s="1">
        <v>7.1117428333333299</v>
      </c>
      <c r="F50" s="1">
        <v>8.2776664166666691</v>
      </c>
      <c r="G50" s="1">
        <v>8.3415409999999994</v>
      </c>
      <c r="H50" s="1">
        <v>7.8716825000000004</v>
      </c>
      <c r="I50" s="1">
        <v>6.7049688333333304</v>
      </c>
      <c r="J50" s="1">
        <v>6.0343406666666697</v>
      </c>
      <c r="K50" s="1">
        <v>5.9492369166666697</v>
      </c>
      <c r="L50" s="1">
        <v>5.8377932499999998</v>
      </c>
      <c r="M50" s="1">
        <v>5.3645356666666704</v>
      </c>
      <c r="N50" s="1">
        <v>4.9350397499999996</v>
      </c>
      <c r="O50" s="1">
        <v>5.2839464166666703</v>
      </c>
      <c r="P50" s="1">
        <v>5.4980105833333299</v>
      </c>
      <c r="Q50" s="1">
        <v>5.3438697499999996</v>
      </c>
      <c r="R50" s="1">
        <v>5.8502918333333298</v>
      </c>
      <c r="S50" s="1">
        <v>5.70488016666667</v>
      </c>
      <c r="T50" s="1">
        <v>5.7481654166666702</v>
      </c>
      <c r="U50" s="1">
        <v>6.8583037500000001</v>
      </c>
      <c r="V50" s="1">
        <v>6.8059901666666702</v>
      </c>
      <c r="W50" s="1">
        <v>6.623831</v>
      </c>
      <c r="X50" s="1">
        <v>6.2790252500000001</v>
      </c>
      <c r="Y50" s="1">
        <v>6.6225451666666704</v>
      </c>
      <c r="Z50" s="1">
        <v>6.6140555000000001</v>
      </c>
    </row>
    <row r="51" spans="1:26">
      <c r="A51" s="1" t="s">
        <v>449</v>
      </c>
      <c r="B51" s="1" t="s">
        <v>1210</v>
      </c>
      <c r="C51" s="1" t="s">
        <v>1210</v>
      </c>
      <c r="D51" s="1" t="s">
        <v>1210</v>
      </c>
      <c r="E51" s="1" t="s">
        <v>1210</v>
      </c>
      <c r="F51" s="1" t="s">
        <v>1210</v>
      </c>
      <c r="G51" s="1" t="s">
        <v>1210</v>
      </c>
      <c r="H51" s="1" t="s">
        <v>1210</v>
      </c>
      <c r="I51" s="1" t="s">
        <v>1210</v>
      </c>
      <c r="J51" s="1" t="s">
        <v>1210</v>
      </c>
      <c r="K51" s="1" t="s">
        <v>1210</v>
      </c>
      <c r="L51" s="1" t="s">
        <v>1210</v>
      </c>
      <c r="M51" s="1" t="s">
        <v>1210</v>
      </c>
      <c r="N51" s="1" t="s">
        <v>1210</v>
      </c>
      <c r="O51" s="1" t="s">
        <v>1210</v>
      </c>
      <c r="P51" s="1" t="s">
        <v>1210</v>
      </c>
      <c r="Q51" s="1" t="s">
        <v>1210</v>
      </c>
      <c r="R51" s="1" t="s">
        <v>1210</v>
      </c>
      <c r="S51" s="1" t="s">
        <v>1210</v>
      </c>
      <c r="T51" s="1" t="s">
        <v>1210</v>
      </c>
      <c r="U51" s="1" t="s">
        <v>1210</v>
      </c>
      <c r="V51" s="1" t="s">
        <v>1210</v>
      </c>
      <c r="W51" s="1" t="s">
        <v>1210</v>
      </c>
      <c r="X51" s="1" t="s">
        <v>1210</v>
      </c>
      <c r="Y51" s="1" t="s">
        <v>1210</v>
      </c>
      <c r="Z51" s="1" t="s">
        <v>1210</v>
      </c>
    </row>
    <row r="52" spans="1:26">
      <c r="A52" s="1" t="s">
        <v>1173</v>
      </c>
      <c r="B52" s="1" t="s">
        <v>1210</v>
      </c>
      <c r="C52" s="1" t="s">
        <v>1210</v>
      </c>
      <c r="D52" s="1" t="s">
        <v>1210</v>
      </c>
      <c r="E52" s="1" t="s">
        <v>1210</v>
      </c>
      <c r="F52" s="1" t="s">
        <v>1210</v>
      </c>
      <c r="G52" s="1" t="s">
        <v>1210</v>
      </c>
      <c r="H52" s="1" t="s">
        <v>1210</v>
      </c>
      <c r="I52" s="1" t="s">
        <v>1210</v>
      </c>
      <c r="J52" s="1" t="s">
        <v>1210</v>
      </c>
      <c r="K52" s="1" t="s">
        <v>1210</v>
      </c>
      <c r="L52" s="1" t="s">
        <v>1210</v>
      </c>
      <c r="M52" s="1" t="s">
        <v>1210</v>
      </c>
      <c r="N52" s="1" t="s">
        <v>1210</v>
      </c>
      <c r="O52" s="1" t="s">
        <v>1210</v>
      </c>
      <c r="P52" s="1" t="s">
        <v>1210</v>
      </c>
      <c r="Q52" s="1">
        <v>1.79</v>
      </c>
      <c r="R52" s="1">
        <v>1.79</v>
      </c>
      <c r="S52" s="1">
        <v>1.79</v>
      </c>
      <c r="T52" s="1">
        <v>1.79</v>
      </c>
      <c r="U52" s="1">
        <v>1.79</v>
      </c>
      <c r="V52" s="1">
        <v>1.79</v>
      </c>
      <c r="W52" s="1">
        <v>1.79</v>
      </c>
      <c r="X52" s="1">
        <v>1.79</v>
      </c>
      <c r="Y52" s="1">
        <v>1.79</v>
      </c>
      <c r="Z52" s="1">
        <v>1.79</v>
      </c>
    </row>
    <row r="53" spans="1:26">
      <c r="A53" s="1" t="s">
        <v>1048</v>
      </c>
      <c r="B53" s="1">
        <v>0.46631125000000001</v>
      </c>
      <c r="C53" s="1">
        <v>0.51389733333333298</v>
      </c>
      <c r="D53" s="1">
        <v>0.51782558333333295</v>
      </c>
      <c r="E53" s="1">
        <v>0.54294774999999995</v>
      </c>
      <c r="F53" s="1">
        <v>0.62240911666666698</v>
      </c>
      <c r="G53" s="1">
        <v>0.64310702615833304</v>
      </c>
      <c r="H53" s="1">
        <v>0.61065998966666701</v>
      </c>
      <c r="I53" s="1">
        <v>0.51744326166666699</v>
      </c>
      <c r="J53" s="1">
        <v>0.46860055225000002</v>
      </c>
      <c r="K53" s="1">
        <v>0.46407050716166698</v>
      </c>
      <c r="L53" s="1">
        <v>0.45891594691666698</v>
      </c>
      <c r="M53" s="1">
        <v>0.42612499999999998</v>
      </c>
      <c r="N53" s="1" t="s">
        <v>1210</v>
      </c>
      <c r="O53" s="1" t="s">
        <v>1210</v>
      </c>
      <c r="P53" s="1" t="s">
        <v>1210</v>
      </c>
      <c r="Q53" s="1" t="s">
        <v>1210</v>
      </c>
      <c r="R53" s="1" t="s">
        <v>1210</v>
      </c>
      <c r="S53" s="1" t="s">
        <v>1210</v>
      </c>
      <c r="T53" s="1" t="s">
        <v>1210</v>
      </c>
      <c r="U53" s="1" t="s">
        <v>1210</v>
      </c>
      <c r="V53" s="1" t="s">
        <v>1210</v>
      </c>
      <c r="W53" s="1" t="s">
        <v>1210</v>
      </c>
      <c r="X53" s="1" t="s">
        <v>1210</v>
      </c>
      <c r="Y53" s="1" t="s">
        <v>1210</v>
      </c>
      <c r="Z53" s="1" t="s">
        <v>1210</v>
      </c>
    </row>
    <row r="54" spans="1:26">
      <c r="A54" s="1" t="s">
        <v>1049</v>
      </c>
      <c r="B54" s="1">
        <v>27.144916666666699</v>
      </c>
      <c r="C54" s="1">
        <v>31.698416666666699</v>
      </c>
      <c r="D54" s="1">
        <v>32.281166666666699</v>
      </c>
      <c r="E54" s="1">
        <v>34.569249999999997</v>
      </c>
      <c r="F54" s="1">
        <v>38.598416666666701</v>
      </c>
      <c r="G54" s="1">
        <v>38.035328333333297</v>
      </c>
      <c r="H54" s="1">
        <v>32.738518333333303</v>
      </c>
      <c r="I54" s="1">
        <v>28.209</v>
      </c>
      <c r="J54" s="1">
        <v>25.699750000000002</v>
      </c>
      <c r="K54" s="1">
        <v>23.957416666666699</v>
      </c>
      <c r="L54" s="1">
        <v>22.595583333333298</v>
      </c>
      <c r="M54" s="1">
        <v>20.293666666666699</v>
      </c>
      <c r="N54" s="1">
        <v>17.071666666666701</v>
      </c>
      <c r="O54" s="1">
        <v>19.062999999999999</v>
      </c>
      <c r="P54" s="1">
        <v>19.09825</v>
      </c>
      <c r="Q54" s="1">
        <v>17.695916666666701</v>
      </c>
      <c r="R54" s="1">
        <v>19.577500000000001</v>
      </c>
      <c r="S54" s="1">
        <v>19.5705833333333</v>
      </c>
      <c r="T54" s="1">
        <v>20.7575</v>
      </c>
      <c r="U54" s="1">
        <v>24.598749999999999</v>
      </c>
      <c r="V54" s="1">
        <v>24.439916666666701</v>
      </c>
      <c r="W54" s="1">
        <v>23.376333333333299</v>
      </c>
      <c r="X54" s="1">
        <v>21.7299166666667</v>
      </c>
      <c r="Y54" s="1">
        <v>22.93225</v>
      </c>
      <c r="Z54" s="1">
        <v>23.210249999999998</v>
      </c>
    </row>
    <row r="55" spans="1:26">
      <c r="A55" s="1" t="s">
        <v>1050</v>
      </c>
      <c r="B55" s="1">
        <v>5.79867166666667</v>
      </c>
      <c r="C55" s="1">
        <v>6.6044591666666701</v>
      </c>
      <c r="D55" s="1">
        <v>6.7008266666666696</v>
      </c>
      <c r="E55" s="1">
        <v>6.9762399999999998</v>
      </c>
      <c r="F55" s="1">
        <v>8.0831441666666706</v>
      </c>
      <c r="G55" s="1">
        <v>8.3228174999999993</v>
      </c>
      <c r="H55" s="1">
        <v>7.8947141666666703</v>
      </c>
      <c r="I55" s="1">
        <v>6.5876733333333304</v>
      </c>
      <c r="J55" s="1">
        <v>5.9910566666666698</v>
      </c>
      <c r="K55" s="1">
        <v>5.9969099999999997</v>
      </c>
      <c r="L55" s="1">
        <v>5.9467783333333299</v>
      </c>
      <c r="M55" s="1">
        <v>5.4437008333333301</v>
      </c>
      <c r="N55" s="1">
        <v>5.0981308333333297</v>
      </c>
      <c r="O55" s="1">
        <v>5.36086666666667</v>
      </c>
      <c r="P55" s="1">
        <v>5.6240750000000004</v>
      </c>
      <c r="Q55" s="1">
        <v>5.3687115350877201</v>
      </c>
      <c r="R55" s="1">
        <v>5.7924755370391603</v>
      </c>
      <c r="S55" s="1">
        <v>5.6163116861762203</v>
      </c>
      <c r="T55" s="1">
        <v>5.6124666666666698</v>
      </c>
      <c r="U55" s="1">
        <v>6.7279068312963002</v>
      </c>
      <c r="V55" s="1">
        <v>6.7317182572463796</v>
      </c>
      <c r="W55" s="1">
        <v>6.6028934656140397</v>
      </c>
      <c r="X55" s="1">
        <v>6.3146187866666699</v>
      </c>
      <c r="Y55" s="1">
        <v>6.669446615</v>
      </c>
      <c r="Z55" s="1">
        <v>6.54215220416667</v>
      </c>
    </row>
    <row r="56" spans="1:26">
      <c r="A56" s="1" t="s">
        <v>1051</v>
      </c>
      <c r="B56" s="1">
        <v>177.721</v>
      </c>
      <c r="C56" s="1">
        <v>177.721</v>
      </c>
      <c r="D56" s="1">
        <v>177.721</v>
      </c>
      <c r="E56" s="1">
        <v>177.721</v>
      </c>
      <c r="F56" s="1">
        <v>177.721</v>
      </c>
      <c r="G56" s="1">
        <v>177.721</v>
      </c>
      <c r="H56" s="1">
        <v>177.721</v>
      </c>
      <c r="I56" s="1">
        <v>177.721</v>
      </c>
      <c r="J56" s="1">
        <v>177.721</v>
      </c>
      <c r="K56" s="1">
        <v>177.721</v>
      </c>
      <c r="L56" s="1">
        <v>177.721</v>
      </c>
      <c r="M56" s="1">
        <v>177.721</v>
      </c>
      <c r="N56" s="1">
        <v>177.721</v>
      </c>
      <c r="O56" s="1">
        <v>177.721</v>
      </c>
      <c r="P56" s="1">
        <v>177.721</v>
      </c>
      <c r="Q56" s="1">
        <v>177.721</v>
      </c>
      <c r="R56" s="1">
        <v>177.721</v>
      </c>
      <c r="S56" s="1">
        <v>177.721</v>
      </c>
      <c r="T56" s="1">
        <v>177.721</v>
      </c>
      <c r="U56" s="1">
        <v>177.721</v>
      </c>
      <c r="V56" s="1">
        <v>177.721</v>
      </c>
      <c r="W56" s="1">
        <v>177.721</v>
      </c>
      <c r="X56" s="1">
        <v>177.721</v>
      </c>
      <c r="Y56" s="1">
        <v>177.721</v>
      </c>
      <c r="Z56" s="1">
        <v>177.721</v>
      </c>
    </row>
    <row r="57" spans="1:26">
      <c r="A57" s="1" t="s">
        <v>1053</v>
      </c>
      <c r="B57" s="1">
        <v>2.7</v>
      </c>
      <c r="C57" s="1">
        <v>2.7</v>
      </c>
      <c r="D57" s="1">
        <v>2.7</v>
      </c>
      <c r="E57" s="1">
        <v>2.7</v>
      </c>
      <c r="F57" s="1">
        <v>2.7</v>
      </c>
      <c r="G57" s="1">
        <v>2.7</v>
      </c>
      <c r="H57" s="1">
        <v>2.7</v>
      </c>
      <c r="I57" s="1">
        <v>2.7</v>
      </c>
      <c r="J57" s="1">
        <v>2.7</v>
      </c>
      <c r="K57" s="1">
        <v>2.7</v>
      </c>
      <c r="L57" s="1">
        <v>2.7</v>
      </c>
      <c r="M57" s="1">
        <v>2.7</v>
      </c>
      <c r="N57" s="1">
        <v>2.7</v>
      </c>
      <c r="O57" s="1">
        <v>2.7</v>
      </c>
      <c r="P57" s="1">
        <v>2.7</v>
      </c>
      <c r="Q57" s="1">
        <v>2.7</v>
      </c>
      <c r="R57" s="1">
        <v>2.7</v>
      </c>
      <c r="S57" s="1">
        <v>2.7</v>
      </c>
      <c r="T57" s="1">
        <v>2.7</v>
      </c>
      <c r="U57" s="1">
        <v>2.7</v>
      </c>
      <c r="V57" s="1">
        <v>2.7</v>
      </c>
      <c r="W57" s="1">
        <v>2.7</v>
      </c>
      <c r="X57" s="1">
        <v>2.7</v>
      </c>
      <c r="Y57" s="1">
        <v>2.7</v>
      </c>
      <c r="Z57" s="1">
        <v>2.7</v>
      </c>
    </row>
    <row r="58" spans="1:26">
      <c r="A58" s="1" t="s">
        <v>1032</v>
      </c>
      <c r="B58" s="1">
        <v>12.8963492063492</v>
      </c>
      <c r="C58" s="1">
        <v>14.005921052631599</v>
      </c>
      <c r="D58" s="1">
        <v>14.703110844469499</v>
      </c>
      <c r="E58" s="1">
        <v>15.834429906597</v>
      </c>
      <c r="F58" s="1">
        <v>16.181457678286598</v>
      </c>
      <c r="G58" s="1">
        <v>16.690961523125999</v>
      </c>
      <c r="H58" s="1">
        <v>17.593043688767398</v>
      </c>
      <c r="I58" s="1">
        <v>29.3699996161352</v>
      </c>
      <c r="J58" s="1">
        <v>41.930314572938698</v>
      </c>
      <c r="K58" s="1">
        <v>30.282808177008199</v>
      </c>
      <c r="L58" s="1">
        <v>33.300035201722999</v>
      </c>
      <c r="M58" s="1">
        <v>33.171870575549498</v>
      </c>
      <c r="N58" s="1">
        <v>34.529360957350598</v>
      </c>
      <c r="O58" s="1">
        <v>35.971865545260002</v>
      </c>
      <c r="P58" s="1">
        <v>36.821291867081499</v>
      </c>
      <c r="Q58" s="1">
        <v>38.087584866809898</v>
      </c>
      <c r="R58" s="1">
        <v>39.320300843225802</v>
      </c>
      <c r="S58" s="1">
        <v>41.794503425229699</v>
      </c>
      <c r="T58" s="1">
        <v>43.549672619047598</v>
      </c>
      <c r="U58" s="1">
        <v>45.045499074074101</v>
      </c>
      <c r="V58" s="1">
        <v>46.064443939393897</v>
      </c>
      <c r="W58" s="1">
        <v>47.534358196248199</v>
      </c>
      <c r="X58" s="1">
        <v>49.509992857142898</v>
      </c>
      <c r="Y58" s="1">
        <v>51.294858333333302</v>
      </c>
      <c r="Z58" s="1">
        <v>56.524533333333302</v>
      </c>
    </row>
    <row r="59" spans="1:26">
      <c r="A59" s="1" t="s">
        <v>559</v>
      </c>
      <c r="B59" s="1">
        <v>3189.47416666667</v>
      </c>
      <c r="C59" s="1">
        <v>3998.2666666666701</v>
      </c>
      <c r="D59" s="1">
        <v>5446.5729000000001</v>
      </c>
      <c r="E59" s="1">
        <v>11786.801666666701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</row>
    <row r="60" spans="1:26">
      <c r="A60" s="1" t="s">
        <v>398</v>
      </c>
      <c r="B60" s="1">
        <v>3.3914833333333299</v>
      </c>
      <c r="C60" s="1">
        <v>3.3887499999999999</v>
      </c>
      <c r="D60" s="1">
        <v>3.3879999999999999</v>
      </c>
      <c r="E60" s="1">
        <v>3.3952499999999999</v>
      </c>
      <c r="F60" s="1">
        <v>3.4720499999999999</v>
      </c>
      <c r="G60" s="1">
        <v>3.9729999999999999</v>
      </c>
      <c r="H60" s="1">
        <v>4.4996666666666698</v>
      </c>
      <c r="I60" s="1">
        <v>5.8508750000000003</v>
      </c>
      <c r="J60" s="1">
        <v>6.19624166666667</v>
      </c>
      <c r="K60" s="1">
        <v>5.7788333333333304</v>
      </c>
      <c r="L60" s="1">
        <v>5.7331666666666701</v>
      </c>
      <c r="M60" s="1">
        <v>5.6354333333333297</v>
      </c>
      <c r="N60" s="1">
        <v>5.4325000000000001</v>
      </c>
      <c r="O60" s="1">
        <v>5.54455330862978</v>
      </c>
      <c r="P60" s="1">
        <v>5.62194291761051</v>
      </c>
      <c r="Q60" s="1">
        <v>5.9328276515151499</v>
      </c>
      <c r="R60" s="1">
        <v>6.05605833333333</v>
      </c>
      <c r="S60" s="1">
        <v>6.8703250000000002</v>
      </c>
      <c r="T60" s="1">
        <v>7.0776085606060599</v>
      </c>
      <c r="U60" s="1">
        <v>7.6912583333333302</v>
      </c>
      <c r="V60" s="1">
        <v>10.0254007885465</v>
      </c>
      <c r="W60" s="1">
        <v>17.782533515063601</v>
      </c>
      <c r="X60" s="1">
        <v>17.767290421810699</v>
      </c>
      <c r="Y60" s="1">
        <v>16.7705818428763</v>
      </c>
      <c r="Z60" s="1">
        <v>15.759172916666699</v>
      </c>
    </row>
    <row r="61" spans="1:26">
      <c r="A61" s="1" t="s">
        <v>1035</v>
      </c>
      <c r="B61" s="1">
        <v>8.7550000000000008</v>
      </c>
      <c r="C61" s="1">
        <v>8.7562499999999996</v>
      </c>
      <c r="D61" s="1">
        <v>8.7550000000000008</v>
      </c>
      <c r="E61" s="1">
        <v>8.7550000000000008</v>
      </c>
      <c r="F61" s="1">
        <v>8.7550000000000008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</row>
    <row r="62" spans="1:26">
      <c r="A62" s="1" t="s">
        <v>1058</v>
      </c>
      <c r="B62" s="1">
        <v>511.55243027251601</v>
      </c>
      <c r="C62" s="1">
        <v>583.66937235339606</v>
      </c>
      <c r="D62" s="1">
        <v>589.951774567332</v>
      </c>
      <c r="E62" s="1">
        <v>615.47334931916396</v>
      </c>
      <c r="F62" s="1">
        <v>710.20797703136702</v>
      </c>
      <c r="G62" s="1">
        <v>732.39769326022804</v>
      </c>
      <c r="H62" s="1">
        <v>693.71322649637398</v>
      </c>
      <c r="I62" s="1">
        <v>579.897426172466</v>
      </c>
      <c r="J62" s="1">
        <v>527.33803229157604</v>
      </c>
      <c r="K62" s="1">
        <v>527.25836264962595</v>
      </c>
      <c r="L62" s="1">
        <v>522.42562489517604</v>
      </c>
      <c r="M62" s="1">
        <v>478.63371847636301</v>
      </c>
      <c r="N62" s="1">
        <v>446.00004143278801</v>
      </c>
      <c r="O62" s="1">
        <v>470.29342334139801</v>
      </c>
      <c r="P62" s="1">
        <v>494.794262222947</v>
      </c>
      <c r="Q62" s="1">
        <v>471.24862571893698</v>
      </c>
      <c r="R62" s="1">
        <v>510.55633845425098</v>
      </c>
      <c r="S62" s="1">
        <v>493.89962385223703</v>
      </c>
      <c r="T62" s="1">
        <v>493.757329875312</v>
      </c>
      <c r="U62" s="1">
        <v>591.21169798260996</v>
      </c>
      <c r="V62" s="1">
        <v>592.60561506302201</v>
      </c>
      <c r="W62" s="1">
        <v>580.65674958785803</v>
      </c>
      <c r="X62" s="1">
        <v>555.44645839822601</v>
      </c>
      <c r="Y62" s="1">
        <v>585.91101318036897</v>
      </c>
      <c r="Z62" s="1">
        <v>575.58600451094503</v>
      </c>
    </row>
    <row r="63" spans="1:26">
      <c r="A63" s="1" t="s">
        <v>1036</v>
      </c>
      <c r="B63" s="1">
        <v>6.3572751139121904</v>
      </c>
      <c r="C63" s="1">
        <v>6.7588217839559102</v>
      </c>
      <c r="D63" s="1">
        <v>7.3619304166666701</v>
      </c>
      <c r="E63" s="1">
        <v>8.1526333333333305</v>
      </c>
      <c r="F63" s="1">
        <v>9.625</v>
      </c>
      <c r="G63" s="1">
        <v>11.3094520833333</v>
      </c>
      <c r="H63" s="1">
        <v>13.958194166666701</v>
      </c>
      <c r="I63" s="1">
        <v>13.877890583333301</v>
      </c>
      <c r="J63" s="1">
        <v>13.7875</v>
      </c>
      <c r="K63" s="1">
        <v>15.3679166666667</v>
      </c>
      <c r="L63" s="1">
        <v>15.375</v>
      </c>
      <c r="M63" s="1">
        <v>15.375</v>
      </c>
      <c r="N63" s="1">
        <v>15.375</v>
      </c>
      <c r="O63" s="1">
        <v>15.375</v>
      </c>
      <c r="P63" s="1">
        <v>15.375</v>
      </c>
      <c r="Q63" s="1">
        <v>15.375</v>
      </c>
      <c r="R63" s="1">
        <v>15.375</v>
      </c>
      <c r="S63" s="1">
        <v>15.375</v>
      </c>
      <c r="T63" s="1">
        <v>15.375</v>
      </c>
      <c r="U63" s="1">
        <v>15.375</v>
      </c>
      <c r="V63" s="1">
        <v>15.35</v>
      </c>
      <c r="W63" s="1">
        <v>15.074999999999999</v>
      </c>
      <c r="X63" s="1">
        <v>15.074999999999999</v>
      </c>
      <c r="Y63" s="1">
        <v>15.074999999999999</v>
      </c>
      <c r="Z63" s="1">
        <v>15.074999999999999</v>
      </c>
    </row>
    <row r="64" spans="1:26">
      <c r="A64" s="1" t="s">
        <v>1061</v>
      </c>
      <c r="B64" s="1">
        <v>12.038</v>
      </c>
      <c r="C64" s="1">
        <v>13.88175</v>
      </c>
      <c r="D64" s="1">
        <v>14.074666666666699</v>
      </c>
      <c r="E64" s="1">
        <v>14.677583333333301</v>
      </c>
      <c r="F64" s="1">
        <v>16.968636666666701</v>
      </c>
      <c r="G64" s="1">
        <v>17.478071533333299</v>
      </c>
      <c r="H64" s="1">
        <v>16.611791666666701</v>
      </c>
      <c r="I64" s="1">
        <v>13.856411404510499</v>
      </c>
      <c r="J64" s="1">
        <v>12.5955635879843</v>
      </c>
      <c r="K64" s="1">
        <v>12.5837865859395</v>
      </c>
      <c r="L64" s="1">
        <v>12.4654837577722</v>
      </c>
      <c r="M64" s="1">
        <v>11.4338529961624</v>
      </c>
      <c r="N64" s="1">
        <v>10.694443093841301</v>
      </c>
      <c r="O64" s="1">
        <v>11.257430885076699</v>
      </c>
      <c r="P64" s="1">
        <v>11.8068482348947</v>
      </c>
      <c r="Q64" s="1" t="s">
        <v>1210</v>
      </c>
      <c r="R64" s="1" t="s">
        <v>1210</v>
      </c>
      <c r="S64" s="1" t="s">
        <v>1210</v>
      </c>
      <c r="T64" s="1" t="s">
        <v>1210</v>
      </c>
      <c r="U64" s="1" t="s">
        <v>1210</v>
      </c>
      <c r="V64" s="1" t="s">
        <v>1210</v>
      </c>
      <c r="W64" s="1" t="s">
        <v>1210</v>
      </c>
      <c r="X64" s="1" t="s">
        <v>1210</v>
      </c>
      <c r="Y64" s="1" t="s">
        <v>1210</v>
      </c>
      <c r="Z64" s="1" t="s">
        <v>1210</v>
      </c>
    </row>
    <row r="65" spans="1:26">
      <c r="A65" s="1" t="s">
        <v>1201</v>
      </c>
      <c r="B65" s="1">
        <v>4.2993491666666701</v>
      </c>
      <c r="C65" s="1">
        <v>4.6079616666666698</v>
      </c>
      <c r="D65" s="1">
        <v>5.52828416666667</v>
      </c>
      <c r="E65" s="1">
        <v>6.1094841666666699</v>
      </c>
      <c r="F65" s="1">
        <v>6.9398283333333302</v>
      </c>
      <c r="G65" s="1">
        <v>8.6091808333333297</v>
      </c>
      <c r="H65" s="1">
        <v>10.540746666666699</v>
      </c>
      <c r="I65" s="1">
        <v>7.5647491666666697</v>
      </c>
      <c r="J65" s="1">
        <v>6.4596925000000001</v>
      </c>
      <c r="K65" s="1">
        <v>6.3593283333333304</v>
      </c>
      <c r="L65" s="1">
        <v>6.7715491666666701</v>
      </c>
      <c r="M65" s="1">
        <v>7.0453650000000003</v>
      </c>
      <c r="N65" s="1">
        <v>8.26122333333333</v>
      </c>
      <c r="O65" s="1">
        <v>8.4736741582488797</v>
      </c>
      <c r="P65" s="1">
        <v>7.3212219611528804</v>
      </c>
      <c r="Q65" s="1">
        <v>7.2611321323273499</v>
      </c>
      <c r="R65" s="1">
        <v>8.2099686265933105</v>
      </c>
      <c r="S65" s="1">
        <v>9.6550560691352594</v>
      </c>
      <c r="T65" s="1">
        <v>10.852655568783099</v>
      </c>
      <c r="U65" s="1">
        <v>12.7589308811644</v>
      </c>
      <c r="V65" s="1">
        <v>14.7096108855267</v>
      </c>
      <c r="W65" s="1">
        <v>13.3238014244992</v>
      </c>
      <c r="X65" s="1">
        <v>13.233926471583301</v>
      </c>
      <c r="Y65" s="1">
        <v>14.451789228882401</v>
      </c>
      <c r="Z65" s="1">
        <v>16.470255865432499</v>
      </c>
    </row>
    <row r="66" spans="1:26">
      <c r="A66" s="1" t="s">
        <v>428</v>
      </c>
      <c r="B66" s="1">
        <v>6.3516750000000002</v>
      </c>
      <c r="C66" s="1">
        <v>6.7093416666666696</v>
      </c>
      <c r="D66" s="1">
        <v>7.1159083333333299</v>
      </c>
      <c r="E66" s="1">
        <v>7.9422499999999996</v>
      </c>
      <c r="F66" s="1">
        <v>8.21725833333333</v>
      </c>
      <c r="G66" s="1">
        <v>8.4574916666666695</v>
      </c>
      <c r="H66" s="1">
        <v>8.5677500000000002</v>
      </c>
      <c r="I66" s="1">
        <v>8.5996833333333296</v>
      </c>
      <c r="J66" s="1">
        <v>8.6355833333333294</v>
      </c>
      <c r="K66" s="1">
        <v>8.6664416666666693</v>
      </c>
      <c r="L66" s="1">
        <v>8.6986158333333297</v>
      </c>
      <c r="M66" s="1">
        <v>8.9659499999999994</v>
      </c>
      <c r="N66" s="1">
        <v>9.5997416666666702</v>
      </c>
      <c r="O66" s="1">
        <v>11.777599672499999</v>
      </c>
      <c r="P66" s="1">
        <v>14.409589808006601</v>
      </c>
      <c r="Q66" s="1">
        <v>16.8992257595275</v>
      </c>
      <c r="R66" s="1">
        <v>17.704761378267399</v>
      </c>
      <c r="S66" s="1">
        <v>18.626628957547801</v>
      </c>
      <c r="T66" s="1">
        <v>19.585789907694998</v>
      </c>
      <c r="U66" s="1">
        <v>20.57684875</v>
      </c>
      <c r="V66" s="1">
        <v>21.731547222222201</v>
      </c>
      <c r="W66" s="1">
        <v>23.866104457412501</v>
      </c>
      <c r="X66" s="1">
        <v>27.429386594166701</v>
      </c>
      <c r="Y66" s="1">
        <v>29.069749999999999</v>
      </c>
      <c r="Z66" s="1">
        <v>34.927165404040402</v>
      </c>
    </row>
    <row r="67" spans="1:26">
      <c r="A67" s="1" t="s">
        <v>1175</v>
      </c>
      <c r="B67" s="1">
        <v>5.79867166666667</v>
      </c>
      <c r="C67" s="1">
        <v>6.6044591666666701</v>
      </c>
      <c r="D67" s="1">
        <v>6.7008266666666696</v>
      </c>
      <c r="E67" s="1">
        <v>6.9762399999999998</v>
      </c>
      <c r="F67" s="1">
        <v>8.0831441666666706</v>
      </c>
      <c r="G67" s="1">
        <v>8.3228174999999993</v>
      </c>
      <c r="H67" s="1">
        <v>7.8947141666666703</v>
      </c>
      <c r="I67" s="1">
        <v>6.5876733333333304</v>
      </c>
      <c r="J67" s="1">
        <v>5.9910566666666698</v>
      </c>
      <c r="K67" s="1">
        <v>5.9969099999999997</v>
      </c>
      <c r="L67" s="1">
        <v>5.9467783333333299</v>
      </c>
      <c r="M67" s="1">
        <v>5.4437008333333301</v>
      </c>
      <c r="N67" s="1">
        <v>5.0981308333333297</v>
      </c>
      <c r="O67" s="1">
        <v>5.36086666666667</v>
      </c>
      <c r="P67" s="1">
        <v>5.6240750000000004</v>
      </c>
      <c r="Q67" s="1">
        <v>5.3687115350877201</v>
      </c>
      <c r="R67" s="1">
        <v>5.7924755370391603</v>
      </c>
      <c r="S67" s="1">
        <v>5.6163116861762203</v>
      </c>
      <c r="T67" s="1">
        <v>5.6124666666666698</v>
      </c>
      <c r="U67" s="1">
        <v>6.7279068312963002</v>
      </c>
      <c r="V67" s="1">
        <v>6.7317182572463796</v>
      </c>
      <c r="W67" s="1" t="s">
        <v>1210</v>
      </c>
      <c r="X67" s="1" t="s">
        <v>1210</v>
      </c>
      <c r="Y67" s="1" t="s">
        <v>1210</v>
      </c>
      <c r="Z67" s="1" t="s">
        <v>1210</v>
      </c>
    </row>
    <row r="68" spans="1:26">
      <c r="A68" s="1" t="s">
        <v>1064</v>
      </c>
      <c r="B68" s="1">
        <v>1.4033</v>
      </c>
      <c r="C68" s="1">
        <v>1.443675</v>
      </c>
      <c r="D68" s="1">
        <v>1.98681666666667</v>
      </c>
      <c r="E68" s="1">
        <v>1.969625</v>
      </c>
      <c r="F68" s="1">
        <v>2.128625</v>
      </c>
      <c r="G68" s="1">
        <v>2.2766029460261299</v>
      </c>
      <c r="H68" s="1">
        <v>2.1867833500114999</v>
      </c>
      <c r="I68" s="1">
        <v>1.89576838179997</v>
      </c>
      <c r="J68" s="1">
        <v>1.73310167837133</v>
      </c>
      <c r="K68" s="1">
        <v>1.6910462157155199</v>
      </c>
      <c r="L68" s="1">
        <v>1.7312649327874501</v>
      </c>
      <c r="M68" s="1">
        <v>1.61041379610359</v>
      </c>
      <c r="N68" s="1">
        <v>1.5940344107734401</v>
      </c>
      <c r="O68" s="1">
        <v>1.95809503538886</v>
      </c>
      <c r="P68" s="1">
        <v>1.9185086782254701</v>
      </c>
      <c r="Q68" s="1">
        <v>1.7908838312601201</v>
      </c>
      <c r="R68" s="1">
        <v>1.7898928174109501</v>
      </c>
      <c r="S68" s="1">
        <v>1.8414766170653201</v>
      </c>
      <c r="T68" s="1">
        <v>1.8873453583192199</v>
      </c>
      <c r="U68" s="1">
        <v>2.0976298163310099</v>
      </c>
      <c r="V68" s="1">
        <v>2.0946959391850801</v>
      </c>
      <c r="W68" s="1">
        <v>2.0668753038145402</v>
      </c>
      <c r="X68" s="1">
        <v>2.0873797892499701</v>
      </c>
      <c r="Y68" s="1">
        <v>2.1603931153146401</v>
      </c>
      <c r="Z68" s="1">
        <v>2.1688049242424201</v>
      </c>
    </row>
    <row r="69" spans="1:26">
      <c r="A69" s="1" t="s">
        <v>1065</v>
      </c>
      <c r="B69" s="1">
        <v>4.5935499999999996</v>
      </c>
      <c r="C69" s="1">
        <v>5.1914350000000002</v>
      </c>
      <c r="D69" s="1">
        <v>5.34406583333333</v>
      </c>
      <c r="E69" s="1" t="s">
        <v>1210</v>
      </c>
      <c r="F69" s="1" t="s">
        <v>1210</v>
      </c>
      <c r="G69" s="1" t="s">
        <v>1210</v>
      </c>
      <c r="H69" s="1" t="s">
        <v>1210</v>
      </c>
      <c r="I69" s="1" t="s">
        <v>1210</v>
      </c>
      <c r="J69" s="1" t="s">
        <v>1210</v>
      </c>
      <c r="K69" s="1" t="s">
        <v>1210</v>
      </c>
      <c r="L69" s="1" t="s">
        <v>1210</v>
      </c>
      <c r="M69" s="1" t="s">
        <v>1210</v>
      </c>
      <c r="N69" s="1" t="s">
        <v>1210</v>
      </c>
      <c r="O69" s="1" t="s">
        <v>1210</v>
      </c>
      <c r="P69" s="1" t="s">
        <v>1210</v>
      </c>
      <c r="Q69" s="1" t="s">
        <v>1210</v>
      </c>
      <c r="R69" s="1" t="s">
        <v>1210</v>
      </c>
      <c r="S69" s="1" t="s">
        <v>1210</v>
      </c>
      <c r="T69" s="1" t="s">
        <v>1210</v>
      </c>
      <c r="U69" s="1" t="s">
        <v>1210</v>
      </c>
      <c r="V69" s="1" t="s">
        <v>1210</v>
      </c>
      <c r="W69" s="1" t="s">
        <v>1210</v>
      </c>
      <c r="X69" s="1" t="s">
        <v>1210</v>
      </c>
      <c r="Y69" s="1" t="s">
        <v>1210</v>
      </c>
      <c r="Z69" s="1" t="s">
        <v>1210</v>
      </c>
    </row>
    <row r="70" spans="1:26">
      <c r="A70" s="1" t="s">
        <v>1067</v>
      </c>
      <c r="B70" s="1">
        <v>5.1155225</v>
      </c>
      <c r="C70" s="1">
        <v>5.8366916666666704</v>
      </c>
      <c r="D70" s="1">
        <v>5.8995156666666704</v>
      </c>
      <c r="E70" s="1" t="s">
        <v>1210</v>
      </c>
      <c r="F70" s="1" t="s">
        <v>1210</v>
      </c>
      <c r="G70" s="1" t="s">
        <v>1210</v>
      </c>
      <c r="H70" s="1" t="s">
        <v>1210</v>
      </c>
      <c r="I70" s="1" t="s">
        <v>1210</v>
      </c>
      <c r="J70" s="1" t="s">
        <v>1210</v>
      </c>
      <c r="K70" s="1" t="s">
        <v>1210</v>
      </c>
      <c r="L70" s="1" t="s">
        <v>1210</v>
      </c>
      <c r="M70" s="1" t="s">
        <v>1210</v>
      </c>
      <c r="N70" s="1" t="s">
        <v>1210</v>
      </c>
      <c r="O70" s="1" t="s">
        <v>1210</v>
      </c>
      <c r="P70" s="1" t="s">
        <v>1210</v>
      </c>
      <c r="Q70" s="1" t="s">
        <v>1210</v>
      </c>
      <c r="R70" s="1" t="s">
        <v>1210</v>
      </c>
      <c r="S70" s="1" t="s">
        <v>1210</v>
      </c>
      <c r="T70" s="1" t="s">
        <v>1210</v>
      </c>
      <c r="U70" s="1" t="s">
        <v>1210</v>
      </c>
      <c r="V70" s="1" t="s">
        <v>1210</v>
      </c>
      <c r="W70" s="1" t="s">
        <v>1210</v>
      </c>
      <c r="X70" s="1" t="s">
        <v>1210</v>
      </c>
      <c r="Y70" s="1" t="s">
        <v>1210</v>
      </c>
      <c r="Z70" s="1" t="s">
        <v>1210</v>
      </c>
    </row>
    <row r="71" spans="1:26">
      <c r="A71" s="1" t="s">
        <v>1212</v>
      </c>
      <c r="B71" s="1">
        <v>93.009406990499997</v>
      </c>
      <c r="C71" s="1">
        <v>106.12156054499999</v>
      </c>
      <c r="D71" s="1">
        <v>107.2638139482</v>
      </c>
      <c r="E71" s="1">
        <v>111.966914110147</v>
      </c>
      <c r="F71" s="1">
        <v>129.201037953271</v>
      </c>
      <c r="G71" s="1">
        <v>133.23779121622499</v>
      </c>
      <c r="H71" s="1">
        <v>126.200312871571</v>
      </c>
      <c r="I71" s="1">
        <v>105.494942032458</v>
      </c>
      <c r="J71" s="1">
        <v>95.933336892522902</v>
      </c>
      <c r="K71" s="1">
        <v>95.918843390948496</v>
      </c>
      <c r="L71" s="1">
        <v>95.039671719798207</v>
      </c>
      <c r="M71" s="1">
        <v>87.073047933181201</v>
      </c>
      <c r="N71" s="1">
        <v>81.136329278054902</v>
      </c>
      <c r="O71" s="1">
        <v>85.5557814096789</v>
      </c>
      <c r="P71" s="1">
        <v>90.0129741146296</v>
      </c>
      <c r="Q71" s="1">
        <v>85.729551829928695</v>
      </c>
      <c r="R71" s="1">
        <v>92.880411084142906</v>
      </c>
      <c r="S71" s="1">
        <v>89.850221498738506</v>
      </c>
      <c r="T71" s="1">
        <v>89.824335377900894</v>
      </c>
      <c r="U71" s="1">
        <v>107.55323440431501</v>
      </c>
      <c r="V71" s="1">
        <v>107.806815805024</v>
      </c>
      <c r="W71" s="1">
        <v>105.63307815114899</v>
      </c>
      <c r="X71" s="1">
        <v>101.046821879543</v>
      </c>
      <c r="Y71" s="1">
        <v>106.588933804405</v>
      </c>
      <c r="Z71" s="1">
        <v>104.710608186968</v>
      </c>
    </row>
    <row r="72" spans="1:26">
      <c r="A72" s="1" t="s">
        <v>1038</v>
      </c>
      <c r="B72" s="1">
        <v>511.55243027251601</v>
      </c>
      <c r="C72" s="1">
        <v>583.66937235339606</v>
      </c>
      <c r="D72" s="1">
        <v>589.951774567332</v>
      </c>
      <c r="E72" s="1">
        <v>615.47334931916396</v>
      </c>
      <c r="F72" s="1">
        <v>710.20797703136702</v>
      </c>
      <c r="G72" s="1">
        <v>732.39769326022804</v>
      </c>
      <c r="H72" s="1">
        <v>693.71322649637398</v>
      </c>
      <c r="I72" s="1">
        <v>579.897426172466</v>
      </c>
      <c r="J72" s="1">
        <v>527.33803229157604</v>
      </c>
      <c r="K72" s="1">
        <v>527.25836264962595</v>
      </c>
      <c r="L72" s="1">
        <v>522.42562489517604</v>
      </c>
      <c r="M72" s="1">
        <v>478.63371847636301</v>
      </c>
      <c r="N72" s="1">
        <v>446.00004143278801</v>
      </c>
      <c r="O72" s="1">
        <v>470.29342334139801</v>
      </c>
      <c r="P72" s="1">
        <v>494.794262222947</v>
      </c>
      <c r="Q72" s="1">
        <v>471.24862571893698</v>
      </c>
      <c r="R72" s="1">
        <v>510.55633845425098</v>
      </c>
      <c r="S72" s="1">
        <v>493.89962385223703</v>
      </c>
      <c r="T72" s="1">
        <v>493.757329875312</v>
      </c>
      <c r="U72" s="1">
        <v>591.21169798260996</v>
      </c>
      <c r="V72" s="1">
        <v>592.60561506302201</v>
      </c>
      <c r="W72" s="1">
        <v>580.65674958785803</v>
      </c>
      <c r="X72" s="1">
        <v>555.44645839822601</v>
      </c>
      <c r="Y72" s="1">
        <v>585.91101318036897</v>
      </c>
      <c r="Z72" s="1">
        <v>575.58600451094503</v>
      </c>
    </row>
    <row r="73" spans="1:26">
      <c r="A73" s="1" t="s">
        <v>346</v>
      </c>
      <c r="B73" s="1">
        <v>9.7971734695092998</v>
      </c>
      <c r="C73" s="1">
        <v>10.2001666666667</v>
      </c>
      <c r="D73" s="1">
        <v>10.6431</v>
      </c>
      <c r="E73" s="1">
        <v>11.395091666666699</v>
      </c>
      <c r="F73" s="1">
        <v>12.7876250950944</v>
      </c>
      <c r="G73" s="1">
        <v>15.687158333333301</v>
      </c>
      <c r="H73" s="1">
        <v>19.917825000000001</v>
      </c>
      <c r="I73" s="1">
        <v>28.530508333333302</v>
      </c>
      <c r="J73" s="1">
        <v>30.030083333333302</v>
      </c>
      <c r="K73" s="1">
        <v>28.575433333333301</v>
      </c>
      <c r="L73" s="1">
        <v>28.065725</v>
      </c>
      <c r="M73" s="1">
        <v>24.873433333333299</v>
      </c>
      <c r="N73" s="1">
        <v>22.192350000000001</v>
      </c>
      <c r="O73" s="1">
        <v>26.644361204231299</v>
      </c>
      <c r="P73" s="1">
        <v>28.0119536626841</v>
      </c>
      <c r="Q73" s="1">
        <v>29.4615200601576</v>
      </c>
      <c r="R73" s="1">
        <v>32.077133888621702</v>
      </c>
      <c r="S73" s="1">
        <v>35.957586834165099</v>
      </c>
      <c r="T73" s="1">
        <v>41.7329616505126</v>
      </c>
      <c r="U73" s="1">
        <v>42.506208092372503</v>
      </c>
      <c r="V73" s="1">
        <v>43.372527673181899</v>
      </c>
      <c r="W73" s="1">
        <v>46.608909462110098</v>
      </c>
      <c r="X73" s="1">
        <v>48.151780637907301</v>
      </c>
      <c r="Y73" s="1">
        <v>50.062461368422198</v>
      </c>
      <c r="Z73" s="1">
        <v>51.501660366172302</v>
      </c>
    </row>
    <row r="74" spans="1:26">
      <c r="A74" s="1" t="s">
        <v>494</v>
      </c>
      <c r="B74" s="1">
        <v>1.2627999999999999</v>
      </c>
      <c r="C74" s="1">
        <v>1.2975000000000001</v>
      </c>
      <c r="D74" s="1">
        <v>1.38981666666667</v>
      </c>
      <c r="E74" s="1">
        <v>2.0245166666666701</v>
      </c>
      <c r="F74" s="1">
        <v>1.97616666666667</v>
      </c>
      <c r="G74" s="1">
        <v>2.0730166666666698</v>
      </c>
      <c r="H74" s="1">
        <v>2.195675</v>
      </c>
      <c r="I74" s="1">
        <v>2.1456499999999998</v>
      </c>
      <c r="J74" s="1">
        <v>1.91665</v>
      </c>
      <c r="K74" s="1">
        <v>1.812675</v>
      </c>
      <c r="L74" s="1">
        <v>1.78043333333333</v>
      </c>
      <c r="M74" s="1">
        <v>1.67049166666667</v>
      </c>
      <c r="N74" s="1">
        <v>1.4907916666666701</v>
      </c>
      <c r="O74" s="1">
        <v>1.6704870967741901</v>
      </c>
      <c r="P74" s="1">
        <v>1.78234166666667</v>
      </c>
      <c r="Q74" s="1">
        <v>1.6864954301075299</v>
      </c>
      <c r="R74" s="1">
        <v>1.6512583333333299</v>
      </c>
      <c r="S74" s="1">
        <v>1.6633500000000001</v>
      </c>
      <c r="T74" s="1">
        <v>1.76566666666667</v>
      </c>
      <c r="U74" s="1">
        <v>2.2693416666666701</v>
      </c>
      <c r="V74" s="1">
        <v>2.3667250000000002</v>
      </c>
      <c r="W74" s="1">
        <v>2.5095416666666699</v>
      </c>
      <c r="X74" s="1">
        <v>2.53411083333333</v>
      </c>
      <c r="Y74" s="1">
        <v>2.8181449999999999</v>
      </c>
      <c r="Z74" s="1">
        <v>3.1090166666666699</v>
      </c>
    </row>
    <row r="75" spans="1:26">
      <c r="A75" s="1" t="s">
        <v>1071</v>
      </c>
      <c r="B75" s="1">
        <v>1.5047741666666701</v>
      </c>
      <c r="C75" s="1">
        <v>1.73405583333333</v>
      </c>
      <c r="D75" s="1">
        <v>1.7596676</v>
      </c>
      <c r="E75" s="1" t="s">
        <v>1210</v>
      </c>
      <c r="F75" s="1" t="s">
        <v>1210</v>
      </c>
      <c r="G75" s="1" t="s">
        <v>1210</v>
      </c>
      <c r="H75" s="1" t="s">
        <v>1210</v>
      </c>
      <c r="I75" s="1" t="s">
        <v>1210</v>
      </c>
      <c r="J75" s="1" t="s">
        <v>1210</v>
      </c>
      <c r="K75" s="1" t="s">
        <v>1210</v>
      </c>
      <c r="L75" s="1" t="s">
        <v>1210</v>
      </c>
      <c r="M75" s="1" t="s">
        <v>1210</v>
      </c>
      <c r="N75" s="1" t="s">
        <v>1210</v>
      </c>
      <c r="O75" s="1" t="s">
        <v>1210</v>
      </c>
      <c r="P75" s="1" t="s">
        <v>1210</v>
      </c>
      <c r="Q75" s="1" t="s">
        <v>1210</v>
      </c>
      <c r="R75" s="1" t="s">
        <v>1210</v>
      </c>
      <c r="S75" s="1" t="s">
        <v>1210</v>
      </c>
      <c r="T75" s="1" t="s">
        <v>1210</v>
      </c>
      <c r="U75" s="1" t="s">
        <v>1210</v>
      </c>
      <c r="V75" s="1" t="s">
        <v>1210</v>
      </c>
      <c r="W75" s="1" t="s">
        <v>1210</v>
      </c>
      <c r="X75" s="1" t="s">
        <v>1210</v>
      </c>
      <c r="Y75" s="1" t="s">
        <v>1210</v>
      </c>
      <c r="Z75" s="1" t="s">
        <v>1210</v>
      </c>
    </row>
    <row r="76" spans="1:26">
      <c r="A76" s="1" t="s">
        <v>1039</v>
      </c>
      <c r="B76" s="1">
        <v>0.16354716757520099</v>
      </c>
      <c r="C76" s="1">
        <v>0.204796277898216</v>
      </c>
      <c r="D76" s="1">
        <v>0.23116590058234099</v>
      </c>
      <c r="E76" s="1">
        <v>0.26664297240719098</v>
      </c>
      <c r="F76" s="1">
        <v>0.54491917586876604</v>
      </c>
      <c r="G76" s="1">
        <v>0.71630515780899495</v>
      </c>
      <c r="H76" s="1">
        <v>0.79241708431316704</v>
      </c>
      <c r="I76" s="1">
        <v>0.86676432652534496</v>
      </c>
      <c r="J76" s="1">
        <v>0.89949485400706297</v>
      </c>
      <c r="K76" s="1">
        <v>0.90520948583333305</v>
      </c>
      <c r="L76" s="1">
        <v>0.91510679916666704</v>
      </c>
      <c r="M76" s="1">
        <v>0.93261919500000001</v>
      </c>
      <c r="N76" s="1">
        <v>1.0522750000000001</v>
      </c>
      <c r="O76" s="1">
        <v>1.40496666666667</v>
      </c>
      <c r="P76" s="1">
        <v>1.4299833333333301</v>
      </c>
      <c r="Q76" s="1">
        <v>1.5206249999999999</v>
      </c>
      <c r="R76" s="1">
        <v>1.82486666666667</v>
      </c>
      <c r="S76" s="1">
        <v>1.9813499999999999</v>
      </c>
      <c r="T76" s="1">
        <v>2.8965749999999999</v>
      </c>
      <c r="U76" s="1">
        <v>3.7146416666666702</v>
      </c>
      <c r="V76" s="1">
        <v>3.90981666666667</v>
      </c>
      <c r="W76" s="1">
        <v>4.3505333333333303</v>
      </c>
      <c r="X76" s="1">
        <v>4.5853250000000001</v>
      </c>
      <c r="Y76" s="1">
        <v>5.2173666666666696</v>
      </c>
      <c r="Z76" s="1">
        <v>5.59570833333333</v>
      </c>
    </row>
    <row r="77" spans="1:26">
      <c r="A77" s="1" t="s">
        <v>1176</v>
      </c>
      <c r="B77" s="1">
        <v>0.64095825500000003</v>
      </c>
      <c r="C77" s="1">
        <v>0.61083611416666705</v>
      </c>
      <c r="D77" s="1">
        <v>0.60382359416666698</v>
      </c>
      <c r="E77" s="1">
        <v>0.61805684500000002</v>
      </c>
      <c r="F77" s="1">
        <v>0.66093083333333302</v>
      </c>
      <c r="G77" s="1">
        <v>0.69465500000000002</v>
      </c>
      <c r="H77" s="1">
        <v>0.66722333333333295</v>
      </c>
      <c r="I77" s="1">
        <v>0.61247249999999998</v>
      </c>
      <c r="J77" s="1">
        <v>0.54618</v>
      </c>
      <c r="K77" s="1">
        <v>0.54999833333333303</v>
      </c>
      <c r="L77" s="1">
        <v>0.54348666666666701</v>
      </c>
      <c r="M77" s="1">
        <v>0.499771666666667</v>
      </c>
      <c r="N77" s="1">
        <v>0.54396624999999998</v>
      </c>
      <c r="O77" s="1">
        <v>0.64191926349599604</v>
      </c>
      <c r="P77" s="1">
        <v>0.64717934556016499</v>
      </c>
      <c r="Q77" s="1">
        <v>0.62414083574049495</v>
      </c>
      <c r="R77" s="1">
        <v>0.63304698885732702</v>
      </c>
      <c r="S77" s="1">
        <v>0.63966057761347705</v>
      </c>
      <c r="T77" s="1">
        <v>0.60772962687825505</v>
      </c>
      <c r="U77" s="1">
        <v>0.65454547893142601</v>
      </c>
      <c r="V77" s="1">
        <v>0.74063446369708397</v>
      </c>
      <c r="W77" s="1">
        <v>0.77697668234412298</v>
      </c>
      <c r="X77" s="1">
        <v>0.74953154025984703</v>
      </c>
      <c r="Y77" s="1">
        <v>0.78344511001192896</v>
      </c>
      <c r="Z77" s="1">
        <v>0.77999957669715303</v>
      </c>
    </row>
    <row r="78" spans="1:26">
      <c r="A78" s="1" t="s">
        <v>1073</v>
      </c>
      <c r="B78" s="1">
        <v>240.71154250000001</v>
      </c>
      <c r="C78" s="1">
        <v>273.05785333333301</v>
      </c>
      <c r="D78" s="1">
        <v>295.52910500000002</v>
      </c>
      <c r="E78" s="1">
        <v>305.64660416666698</v>
      </c>
      <c r="F78" s="1">
        <v>365.39856083333302</v>
      </c>
      <c r="G78" s="1" t="s">
        <v>1210</v>
      </c>
      <c r="H78" s="1" t="s">
        <v>1210</v>
      </c>
      <c r="I78" s="1" t="s">
        <v>1210</v>
      </c>
      <c r="J78" s="1" t="s">
        <v>1210</v>
      </c>
      <c r="K78" s="1" t="s">
        <v>1210</v>
      </c>
      <c r="L78" s="1" t="s">
        <v>1210</v>
      </c>
      <c r="M78" s="1" t="s">
        <v>1210</v>
      </c>
      <c r="N78" s="1" t="s">
        <v>1210</v>
      </c>
      <c r="O78" s="1" t="s">
        <v>1210</v>
      </c>
      <c r="P78" s="1" t="s">
        <v>1210</v>
      </c>
      <c r="Q78" s="1" t="s">
        <v>1210</v>
      </c>
      <c r="R78" s="1" t="s">
        <v>1210</v>
      </c>
      <c r="S78" s="1" t="s">
        <v>1210</v>
      </c>
      <c r="T78" s="1" t="s">
        <v>1210</v>
      </c>
      <c r="U78" s="1" t="s">
        <v>1210</v>
      </c>
      <c r="V78" s="1" t="s">
        <v>1210</v>
      </c>
      <c r="W78" s="1" t="s">
        <v>1210</v>
      </c>
      <c r="X78" s="1" t="s">
        <v>1210</v>
      </c>
      <c r="Y78" s="1" t="s">
        <v>1210</v>
      </c>
      <c r="Z78" s="1" t="s">
        <v>1210</v>
      </c>
    </row>
    <row r="79" spans="1:26">
      <c r="A79" s="1" t="s">
        <v>1177</v>
      </c>
      <c r="B79" s="1">
        <v>5.79867166666667</v>
      </c>
      <c r="C79" s="1">
        <v>6.6044591666666701</v>
      </c>
      <c r="D79" s="1">
        <v>6.7008266666666696</v>
      </c>
      <c r="E79" s="1">
        <v>6.9762399999999998</v>
      </c>
      <c r="F79" s="1">
        <v>8.0831441666666706</v>
      </c>
      <c r="G79" s="1">
        <v>8.3228174999999993</v>
      </c>
      <c r="H79" s="1">
        <v>7.8947141666666703</v>
      </c>
      <c r="I79" s="1">
        <v>6.5876733333333304</v>
      </c>
      <c r="J79" s="1">
        <v>5.9910566666666698</v>
      </c>
      <c r="K79" s="1">
        <v>5.9969099999999997</v>
      </c>
      <c r="L79" s="1">
        <v>5.9467783333333299</v>
      </c>
      <c r="M79" s="1">
        <v>5.4437008333333301</v>
      </c>
      <c r="N79" s="1">
        <v>5.0981308333333297</v>
      </c>
      <c r="O79" s="1">
        <v>5.36086666666667</v>
      </c>
      <c r="P79" s="1">
        <v>5.6240750000000004</v>
      </c>
      <c r="Q79" s="1">
        <v>5.3687115350877201</v>
      </c>
      <c r="R79" s="1">
        <v>5.7924755370391603</v>
      </c>
      <c r="S79" s="1">
        <v>5.6163116861762203</v>
      </c>
      <c r="T79" s="1">
        <v>5.6124666666666698</v>
      </c>
      <c r="U79" s="1">
        <v>6.7279068312963002</v>
      </c>
      <c r="V79" s="1">
        <v>6.7317182572463796</v>
      </c>
      <c r="W79" s="1" t="s">
        <v>1210</v>
      </c>
      <c r="X79" s="1" t="s">
        <v>1210</v>
      </c>
      <c r="Y79" s="1" t="s">
        <v>1210</v>
      </c>
      <c r="Z79" s="1" t="s">
        <v>1210</v>
      </c>
    </row>
    <row r="80" spans="1:26">
      <c r="A80" s="1" t="s">
        <v>1075</v>
      </c>
      <c r="B80" s="1">
        <v>2.7</v>
      </c>
      <c r="C80" s="1">
        <v>2.7</v>
      </c>
      <c r="D80" s="1">
        <v>2.7</v>
      </c>
      <c r="E80" s="1">
        <v>2.7</v>
      </c>
      <c r="F80" s="1">
        <v>2.7</v>
      </c>
      <c r="G80" s="1">
        <v>2.7</v>
      </c>
      <c r="H80" s="1">
        <v>2.7</v>
      </c>
      <c r="I80" s="1">
        <v>2.7</v>
      </c>
      <c r="J80" s="1">
        <v>2.7</v>
      </c>
      <c r="K80" s="1">
        <v>2.7</v>
      </c>
      <c r="L80" s="1">
        <v>2.7</v>
      </c>
      <c r="M80" s="1">
        <v>2.7</v>
      </c>
      <c r="N80" s="1">
        <v>2.7</v>
      </c>
      <c r="O80" s="1">
        <v>2.7</v>
      </c>
      <c r="P80" s="1">
        <v>2.7</v>
      </c>
      <c r="Q80" s="1">
        <v>2.7</v>
      </c>
      <c r="R80" s="1">
        <v>2.7</v>
      </c>
      <c r="S80" s="1">
        <v>2.7</v>
      </c>
      <c r="T80" s="1">
        <v>2.7</v>
      </c>
      <c r="U80" s="1">
        <v>2.7</v>
      </c>
      <c r="V80" s="1">
        <v>2.7</v>
      </c>
      <c r="W80" s="1">
        <v>2.7</v>
      </c>
      <c r="X80" s="1">
        <v>2.7</v>
      </c>
      <c r="Y80" s="1">
        <v>2.7</v>
      </c>
      <c r="Z80" s="1">
        <v>2.7</v>
      </c>
    </row>
    <row r="81" spans="1:26">
      <c r="A81" s="1" t="s">
        <v>1178</v>
      </c>
      <c r="B81" s="1" t="s">
        <v>1210</v>
      </c>
      <c r="C81" s="1" t="s">
        <v>1210</v>
      </c>
      <c r="D81" s="1" t="s">
        <v>1210</v>
      </c>
      <c r="E81" s="1" t="s">
        <v>1210</v>
      </c>
      <c r="F81" s="1" t="s">
        <v>1210</v>
      </c>
      <c r="G81" s="1" t="s">
        <v>1210</v>
      </c>
      <c r="H81" s="1" t="s">
        <v>1210</v>
      </c>
      <c r="I81" s="1" t="s">
        <v>1210</v>
      </c>
      <c r="J81" s="1" t="s">
        <v>1210</v>
      </c>
      <c r="K81" s="1" t="s">
        <v>1210</v>
      </c>
      <c r="L81" s="1" t="s">
        <v>1210</v>
      </c>
      <c r="M81" s="1" t="s">
        <v>1210</v>
      </c>
      <c r="N81" s="1" t="s">
        <v>1210</v>
      </c>
      <c r="O81" s="1" t="s">
        <v>1210</v>
      </c>
      <c r="P81" s="1" t="s">
        <v>1210</v>
      </c>
      <c r="Q81" s="1" t="s">
        <v>1210</v>
      </c>
      <c r="R81" s="1" t="s">
        <v>1210</v>
      </c>
      <c r="S81" s="1" t="s">
        <v>1210</v>
      </c>
      <c r="T81" s="1" t="s">
        <v>1210</v>
      </c>
      <c r="U81" s="1" t="s">
        <v>1210</v>
      </c>
      <c r="V81" s="1" t="s">
        <v>1210</v>
      </c>
      <c r="W81" s="1" t="s">
        <v>1210</v>
      </c>
      <c r="X81" s="1" t="s">
        <v>1210</v>
      </c>
      <c r="Y81" s="1" t="s">
        <v>1210</v>
      </c>
      <c r="Z81" s="1" t="s">
        <v>1210</v>
      </c>
    </row>
    <row r="82" spans="1:26">
      <c r="A82" s="1" t="s">
        <v>1041</v>
      </c>
      <c r="B82" s="1">
        <v>6.0495124999999996</v>
      </c>
      <c r="C82" s="1">
        <v>6.0652691666666696</v>
      </c>
      <c r="D82" s="1">
        <v>6.3946533333333297</v>
      </c>
      <c r="E82" s="1">
        <v>7.3856099999999998</v>
      </c>
      <c r="F82" s="1">
        <v>7.7631591666666697</v>
      </c>
      <c r="G82" s="1">
        <v>7.8585925000000003</v>
      </c>
      <c r="H82" s="1">
        <v>7.8216450000000002</v>
      </c>
      <c r="I82" s="1">
        <v>7.9408466666666699</v>
      </c>
      <c r="J82" s="1">
        <v>7.94649583333333</v>
      </c>
      <c r="K82" s="1">
        <v>7.6339441666666703</v>
      </c>
      <c r="L82" s="1">
        <v>7.6026308333333299</v>
      </c>
      <c r="M82" s="1">
        <v>7.6733041666666697</v>
      </c>
      <c r="N82" s="1">
        <v>7.5600283333333298</v>
      </c>
      <c r="O82" s="1">
        <v>8.1615554166666708</v>
      </c>
      <c r="P82" s="1">
        <v>8.0577708333333309</v>
      </c>
      <c r="Q82" s="1">
        <v>7.7854183333333298</v>
      </c>
      <c r="R82" s="1">
        <v>7.8336054166666704</v>
      </c>
      <c r="S82" s="1">
        <v>7.8568137499999997</v>
      </c>
      <c r="T82" s="1">
        <v>7.7322333333333297</v>
      </c>
      <c r="U82" s="1">
        <v>7.6548150000000001</v>
      </c>
      <c r="V82" s="1">
        <v>7.5999370833333302</v>
      </c>
      <c r="W82" s="1">
        <v>7.34793875</v>
      </c>
      <c r="X82" s="1">
        <v>7.51916458333333</v>
      </c>
      <c r="Y82" s="1">
        <v>7.6966983333333303</v>
      </c>
      <c r="Z82" s="1">
        <v>7.7216500000000003</v>
      </c>
    </row>
    <row r="83" spans="1:26">
      <c r="A83" s="1" t="s">
        <v>1043</v>
      </c>
      <c r="B83" s="1">
        <v>1004.01658333333</v>
      </c>
      <c r="C83" s="1">
        <v>1095.3254999999999</v>
      </c>
      <c r="D83" s="1">
        <v>1236.8317500000001</v>
      </c>
      <c r="E83" s="1">
        <v>1387.4013333333301</v>
      </c>
      <c r="F83" s="1">
        <v>1746.86991666667</v>
      </c>
      <c r="G83" s="1">
        <v>1950.55833333333</v>
      </c>
      <c r="H83" s="1">
        <v>1975.84375</v>
      </c>
      <c r="I83" s="1">
        <v>1984.9312500000001</v>
      </c>
      <c r="J83" s="1">
        <v>2243.9312500000001</v>
      </c>
      <c r="K83" s="1">
        <v>3644.3333333333298</v>
      </c>
      <c r="L83" s="1">
        <v>5148.75</v>
      </c>
      <c r="M83" s="1">
        <v>4197.7520041666703</v>
      </c>
      <c r="N83" s="1">
        <v>4601.6910041666697</v>
      </c>
      <c r="O83" s="1">
        <v>4801.0832375</v>
      </c>
      <c r="P83" s="1">
        <v>5726.0710208333303</v>
      </c>
      <c r="Q83" s="1">
        <v>6658.0312583333298</v>
      </c>
      <c r="R83" s="1">
        <v>6985.8290263333301</v>
      </c>
      <c r="S83" s="1">
        <v>6907.8780694999996</v>
      </c>
      <c r="T83" s="1">
        <v>7014.1187772499998</v>
      </c>
      <c r="U83" s="1">
        <v>7485.51674166667</v>
      </c>
      <c r="V83" s="1">
        <v>8967.9270795833309</v>
      </c>
      <c r="W83" s="1">
        <v>9088.3194962316593</v>
      </c>
      <c r="X83" s="1">
        <v>9011.1341772519409</v>
      </c>
      <c r="Y83" s="1">
        <v>9183.8758639098396</v>
      </c>
      <c r="Z83" s="1">
        <v>9565.0821834383296</v>
      </c>
    </row>
    <row r="84" spans="1:26">
      <c r="A84" s="1" t="s">
        <v>1044</v>
      </c>
      <c r="B84" s="1">
        <v>511.55243027251601</v>
      </c>
      <c r="C84" s="1">
        <v>583.66937235339606</v>
      </c>
      <c r="D84" s="1">
        <v>589.951774567332</v>
      </c>
      <c r="E84" s="1">
        <v>615.47334931916396</v>
      </c>
      <c r="F84" s="1">
        <v>710.20797703136702</v>
      </c>
      <c r="G84" s="1">
        <v>732.39769326022804</v>
      </c>
      <c r="H84" s="1">
        <v>693.71322649637398</v>
      </c>
      <c r="I84" s="1">
        <v>579.897426172466</v>
      </c>
      <c r="J84" s="1">
        <v>527.33803229157604</v>
      </c>
      <c r="K84" s="1">
        <v>527.25836264962595</v>
      </c>
      <c r="L84" s="1">
        <v>522.42562489517604</v>
      </c>
      <c r="M84" s="1">
        <v>478.63371847636301</v>
      </c>
      <c r="N84" s="1">
        <v>446.00004143278801</v>
      </c>
      <c r="O84" s="1">
        <v>470.29342334139801</v>
      </c>
      <c r="P84" s="1">
        <v>494.794262222947</v>
      </c>
      <c r="Q84" s="1">
        <v>471.24862571893698</v>
      </c>
      <c r="R84" s="1">
        <v>510.55633845425098</v>
      </c>
      <c r="S84" s="1">
        <v>493.89962385223703</v>
      </c>
      <c r="T84" s="1">
        <v>493.757329875312</v>
      </c>
      <c r="U84" s="1">
        <v>591.21169798260996</v>
      </c>
      <c r="V84" s="1">
        <v>592.60561506302201</v>
      </c>
      <c r="W84" s="1">
        <v>580.65674958785803</v>
      </c>
      <c r="X84" s="1">
        <v>555.44645839822601</v>
      </c>
      <c r="Y84" s="1">
        <v>585.91101318036897</v>
      </c>
      <c r="Z84" s="1">
        <v>575.58600451094503</v>
      </c>
    </row>
    <row r="85" spans="1:26">
      <c r="A85" s="1" t="s">
        <v>1045</v>
      </c>
      <c r="B85" s="1">
        <v>140.375</v>
      </c>
      <c r="C85" s="1">
        <v>142.400833333333</v>
      </c>
      <c r="D85" s="1">
        <v>150.51916666666699</v>
      </c>
      <c r="E85" s="1">
        <v>177.995</v>
      </c>
      <c r="F85" s="1">
        <v>182.43</v>
      </c>
      <c r="G85" s="1">
        <v>187.32083333333301</v>
      </c>
      <c r="H85" s="1">
        <v>190.66499999999999</v>
      </c>
      <c r="I85" s="1">
        <v>193.87833333333299</v>
      </c>
      <c r="J85" s="1">
        <v>198.3075</v>
      </c>
      <c r="K85" s="1">
        <v>199.875</v>
      </c>
      <c r="L85" s="1">
        <v>200.18833333333299</v>
      </c>
      <c r="M85" s="1">
        <v>202.34666666666701</v>
      </c>
      <c r="N85" s="1">
        <v>203.63333333333301</v>
      </c>
      <c r="O85" s="1">
        <v>203.95</v>
      </c>
      <c r="P85" s="1">
        <v>203.63583333333301</v>
      </c>
      <c r="Q85" s="1">
        <v>204.01750000000001</v>
      </c>
      <c r="R85" s="1">
        <v>204.35833333333301</v>
      </c>
      <c r="S85" s="1">
        <v>205.39416666666699</v>
      </c>
      <c r="T85" s="1">
        <v>206.449166666667</v>
      </c>
      <c r="U85" s="1">
        <v>206.5</v>
      </c>
      <c r="V85" s="1">
        <v>206.5</v>
      </c>
      <c r="W85" s="1">
        <v>206.5</v>
      </c>
      <c r="X85" s="1">
        <v>207.71666666666701</v>
      </c>
      <c r="Y85" s="1">
        <v>208.5</v>
      </c>
      <c r="Z85" s="1">
        <v>208.5</v>
      </c>
    </row>
    <row r="86" spans="1:26">
      <c r="A86" s="1" t="s">
        <v>1047</v>
      </c>
      <c r="B86" s="1">
        <v>15.70115</v>
      </c>
      <c r="C86" s="1">
        <v>16.654499999999999</v>
      </c>
      <c r="D86" s="1">
        <v>16.7656666666667</v>
      </c>
      <c r="E86" s="1">
        <v>16.937891666666701</v>
      </c>
      <c r="F86" s="1">
        <v>21.170666666666701</v>
      </c>
      <c r="G86" s="1">
        <v>24.429083333333299</v>
      </c>
      <c r="H86" s="1">
        <v>29.2504833333333</v>
      </c>
      <c r="I86" s="1">
        <v>42.366758333333301</v>
      </c>
      <c r="J86" s="1">
        <v>38.352033333333303</v>
      </c>
      <c r="K86" s="1">
        <v>40.448549999999997</v>
      </c>
      <c r="L86" s="1">
        <v>40.408516666666699</v>
      </c>
      <c r="M86" s="1">
        <v>36.861416666666699</v>
      </c>
      <c r="N86" s="1">
        <v>39.1075916666667</v>
      </c>
      <c r="O86" s="1">
        <v>41.197608333333299</v>
      </c>
      <c r="P86" s="1">
        <v>39.797400000000003</v>
      </c>
      <c r="Q86" s="1">
        <v>40.522821939374403</v>
      </c>
      <c r="R86" s="1">
        <v>41.949722952315597</v>
      </c>
      <c r="S86" s="1">
        <v>43.462783333333299</v>
      </c>
      <c r="T86" s="1">
        <v>45.2159808923792</v>
      </c>
      <c r="U86" s="1">
        <v>50.706426673943902</v>
      </c>
      <c r="V86" s="1">
        <v>63.335818369892401</v>
      </c>
      <c r="W86" s="1">
        <v>64.769680284992802</v>
      </c>
      <c r="X86" s="1">
        <v>68.031753981281199</v>
      </c>
      <c r="Y86" s="1">
        <v>88.814966176919299</v>
      </c>
      <c r="Z86" s="1">
        <v>93.509807213621301</v>
      </c>
    </row>
    <row r="87" spans="1:26">
      <c r="A87" s="1" t="s">
        <v>567</v>
      </c>
      <c r="B87" s="1" t="s">
        <v>1210</v>
      </c>
      <c r="C87" s="1" t="s">
        <v>1210</v>
      </c>
      <c r="D87" s="1" t="s">
        <v>1210</v>
      </c>
      <c r="E87" s="1" t="s">
        <v>1210</v>
      </c>
      <c r="F87" s="1">
        <v>14.840624999999999</v>
      </c>
      <c r="G87" s="1">
        <v>15.476825</v>
      </c>
      <c r="H87" s="1">
        <v>16.437058333333301</v>
      </c>
      <c r="I87" s="1">
        <v>17.352491666666701</v>
      </c>
      <c r="J87" s="1">
        <v>18.209724999999999</v>
      </c>
      <c r="K87" s="1">
        <v>18.8323416666667</v>
      </c>
      <c r="L87" s="1">
        <v>18.895208333333301</v>
      </c>
      <c r="M87" s="1">
        <v>18.895099999999999</v>
      </c>
      <c r="N87" s="1">
        <v>18.9037583333333</v>
      </c>
      <c r="O87" s="1">
        <v>18.895099999999999</v>
      </c>
      <c r="P87" s="1">
        <v>18.895099999999999</v>
      </c>
      <c r="Q87" s="1">
        <v>18.917141666666701</v>
      </c>
      <c r="R87" s="1">
        <v>19.502249512161502</v>
      </c>
      <c r="S87" s="1">
        <v>20.353779166666701</v>
      </c>
      <c r="T87" s="1">
        <v>20.987158333333301</v>
      </c>
      <c r="U87" s="1">
        <v>21.945174999999999</v>
      </c>
      <c r="V87" s="1">
        <v>22.835018390426001</v>
      </c>
      <c r="W87" s="1">
        <v>23.4870839434552</v>
      </c>
      <c r="X87" s="1">
        <v>23.902728292543198</v>
      </c>
      <c r="Y87" s="1">
        <v>24.508538914892601</v>
      </c>
      <c r="Z87" s="1">
        <v>24.581880517284599</v>
      </c>
    </row>
    <row r="88" spans="1:26">
      <c r="A88" s="1" t="s">
        <v>1083</v>
      </c>
      <c r="B88" s="1">
        <v>7.7342541666666698</v>
      </c>
      <c r="C88" s="1">
        <v>7.7420833333333299</v>
      </c>
      <c r="D88" s="1">
        <v>7.7453333333333303</v>
      </c>
      <c r="E88" s="1">
        <v>7.7575000000000003</v>
      </c>
      <c r="F88" s="1">
        <v>7.7911666666666699</v>
      </c>
      <c r="G88" s="1">
        <v>7.7987500000000001</v>
      </c>
      <c r="H88" s="1">
        <v>7.7989166666666696</v>
      </c>
      <c r="I88" s="1">
        <v>7.7867499999999996</v>
      </c>
      <c r="J88" s="1">
        <v>7.7880000000000003</v>
      </c>
      <c r="K88" s="1">
        <v>7.7773333333333303</v>
      </c>
      <c r="L88" s="1">
        <v>7.7678333333333303</v>
      </c>
      <c r="M88" s="1">
        <v>7.80141666666667</v>
      </c>
      <c r="N88" s="1">
        <v>7.7868333333333304</v>
      </c>
      <c r="O88" s="1">
        <v>7.7517500000000004</v>
      </c>
      <c r="P88" s="1">
        <v>7.7691666666666697</v>
      </c>
      <c r="Q88" s="1">
        <v>7.7839999999999998</v>
      </c>
      <c r="R88" s="1">
        <v>7.7564166666666701</v>
      </c>
      <c r="S88" s="1">
        <v>7.7560000000000002</v>
      </c>
      <c r="T88" s="1">
        <v>7.7540833333333303</v>
      </c>
      <c r="U88" s="1">
        <v>7.7517500000000004</v>
      </c>
      <c r="V88" s="1">
        <v>7.7622499999999999</v>
      </c>
      <c r="W88" s="1">
        <v>7.7932499999999996</v>
      </c>
      <c r="X88" s="1">
        <v>7.8384999999999998</v>
      </c>
      <c r="Y88" s="1">
        <v>7.8359166666666704</v>
      </c>
      <c r="Z88" s="1">
        <v>7.75725</v>
      </c>
    </row>
    <row r="89" spans="1:26">
      <c r="A89" s="1" t="s">
        <v>1084</v>
      </c>
      <c r="B89" s="1">
        <v>152.64666666666699</v>
      </c>
      <c r="C89" s="1">
        <v>186.789166666667</v>
      </c>
      <c r="D89" s="1">
        <v>214.40166666666701</v>
      </c>
      <c r="E89" s="1">
        <v>237.145833333333</v>
      </c>
      <c r="F89" s="1">
        <v>282.17916666666702</v>
      </c>
      <c r="G89" s="1">
        <v>286.49</v>
      </c>
      <c r="H89" s="1">
        <v>257.886666666667</v>
      </c>
      <c r="I89" s="1">
        <v>224.30666666666701</v>
      </c>
      <c r="J89" s="1">
        <v>202.745833333333</v>
      </c>
      <c r="K89" s="1">
        <v>199.58250000000001</v>
      </c>
      <c r="L89" s="1">
        <v>210.39</v>
      </c>
      <c r="M89" s="1">
        <v>183.62583333333299</v>
      </c>
      <c r="N89" s="1">
        <v>172.113333333333</v>
      </c>
      <c r="O89" s="1">
        <v>202.34166666666701</v>
      </c>
      <c r="P89" s="1">
        <v>207.944166666667</v>
      </c>
      <c r="Q89" s="1">
        <v>201.05500000000001</v>
      </c>
      <c r="R89" s="1">
        <v>225.104166666667</v>
      </c>
      <c r="S89" s="1">
        <v>223.69499999999999</v>
      </c>
      <c r="T89" s="1">
        <v>232.601666666667</v>
      </c>
      <c r="U89" s="1">
        <v>279.33249999999998</v>
      </c>
      <c r="V89" s="1">
        <v>281.52333333333303</v>
      </c>
      <c r="W89" s="1">
        <v>274.433333333333</v>
      </c>
      <c r="X89" s="1">
        <v>270.21166666666699</v>
      </c>
      <c r="Y89" s="1">
        <v>290.66000000000003</v>
      </c>
      <c r="Z89" s="1">
        <v>307.99666666666701</v>
      </c>
    </row>
    <row r="90" spans="1:26">
      <c r="A90" s="1" t="s">
        <v>1085</v>
      </c>
      <c r="B90" s="1">
        <v>66.5</v>
      </c>
      <c r="C90" s="1">
        <v>70.904290833333306</v>
      </c>
      <c r="D90" s="1">
        <v>70.9583333333333</v>
      </c>
      <c r="E90" s="1">
        <v>72.335293333333297</v>
      </c>
      <c r="F90" s="1">
        <v>78.615946666666702</v>
      </c>
      <c r="G90" s="1">
        <v>97.424603333333295</v>
      </c>
      <c r="H90" s="1">
        <v>91.661666666666704</v>
      </c>
      <c r="I90" s="1">
        <v>76.708982500000005</v>
      </c>
      <c r="J90" s="1">
        <v>70.191666666666706</v>
      </c>
      <c r="K90" s="1">
        <v>62.981666666666698</v>
      </c>
      <c r="L90" s="1">
        <v>70.180000000000007</v>
      </c>
      <c r="M90" s="1">
        <v>64.055000000000007</v>
      </c>
      <c r="N90" s="1">
        <v>87.9479166666667</v>
      </c>
      <c r="O90" s="1">
        <v>123.638381413044</v>
      </c>
      <c r="P90" s="1">
        <v>122.24181120516501</v>
      </c>
      <c r="Q90" s="1">
        <v>115.954039762284</v>
      </c>
      <c r="R90" s="1">
        <v>125.08278701376901</v>
      </c>
      <c r="S90" s="1">
        <v>122.17912132045799</v>
      </c>
      <c r="T90" s="1">
        <v>116.767352506899</v>
      </c>
      <c r="U90" s="1">
        <v>131.91870843143201</v>
      </c>
      <c r="V90" s="1">
        <v>120.81154806523899</v>
      </c>
      <c r="W90" s="1">
        <v>106.839572014</v>
      </c>
      <c r="X90" s="1">
        <v>108.300176306626</v>
      </c>
      <c r="Y90" s="1">
        <v>122.60677360190699</v>
      </c>
      <c r="Z90" s="1">
        <v>135.42171162920499</v>
      </c>
    </row>
    <row r="91" spans="1:26">
      <c r="A91" s="1" t="s">
        <v>245</v>
      </c>
      <c r="B91" s="1">
        <v>35.433173333333301</v>
      </c>
      <c r="C91" s="1">
        <v>36.313285833333303</v>
      </c>
      <c r="D91" s="1">
        <v>41.259365000000003</v>
      </c>
      <c r="E91" s="1">
        <v>43.055428333333303</v>
      </c>
      <c r="F91" s="1">
        <v>44.941605000000003</v>
      </c>
      <c r="G91" s="1">
        <v>47.186414166666701</v>
      </c>
      <c r="H91" s="1">
        <v>48.610319166666699</v>
      </c>
      <c r="I91" s="1">
        <v>46.583284166666701</v>
      </c>
      <c r="J91" s="1">
        <v>45.316466666666699</v>
      </c>
      <c r="K91" s="1">
        <v>44.099975000000001</v>
      </c>
      <c r="L91" s="1">
        <v>45.3070083333333</v>
      </c>
      <c r="M91" s="1">
        <v>41.3485333333333</v>
      </c>
      <c r="N91" s="1">
        <v>43.505183333333299</v>
      </c>
      <c r="O91" s="1">
        <v>48.405266666666698</v>
      </c>
      <c r="P91" s="1">
        <v>45.725812121212101</v>
      </c>
      <c r="Q91" s="1">
        <v>46.670466666666698</v>
      </c>
      <c r="R91" s="1">
        <v>53.437233333333303</v>
      </c>
      <c r="S91" s="1">
        <v>58.597845416666701</v>
      </c>
      <c r="T91" s="1">
        <v>61.029514460784299</v>
      </c>
      <c r="U91" s="1">
        <v>64.151944463278596</v>
      </c>
      <c r="V91" s="1">
        <v>67.195312807389399</v>
      </c>
      <c r="W91" s="1">
        <v>65.121568645066006</v>
      </c>
      <c r="X91" s="1">
        <v>68.389467093542095</v>
      </c>
      <c r="Y91" s="1">
        <v>70.420340535955106</v>
      </c>
      <c r="Z91" s="1">
        <v>74.099566883605206</v>
      </c>
    </row>
    <row r="92" spans="1:26">
      <c r="A92" s="1" t="s">
        <v>602</v>
      </c>
      <c r="B92" s="1">
        <v>2342.2962916666702</v>
      </c>
      <c r="C92" s="1">
        <v>2909.38</v>
      </c>
      <c r="D92" s="1">
        <v>10013.622499999999</v>
      </c>
      <c r="E92" s="1">
        <v>7855.15</v>
      </c>
      <c r="F92" s="1">
        <v>8421.7749999999996</v>
      </c>
      <c r="G92" s="1">
        <v>10260.85</v>
      </c>
      <c r="H92" s="1">
        <v>9311.1916666666693</v>
      </c>
      <c r="I92" s="1">
        <v>8577.1333333333296</v>
      </c>
      <c r="J92" s="1">
        <v>8938.85</v>
      </c>
      <c r="K92" s="1">
        <v>9704.7416666666704</v>
      </c>
      <c r="L92" s="1">
        <v>9159.3166666666693</v>
      </c>
      <c r="M92" s="1">
        <v>9141</v>
      </c>
      <c r="N92" s="1">
        <v>9698.9624999999996</v>
      </c>
      <c r="O92" s="1">
        <v>10389.9375</v>
      </c>
      <c r="P92" s="1">
        <v>9090.4333333333307</v>
      </c>
      <c r="Q92" s="1">
        <v>8770.4333333333307</v>
      </c>
      <c r="R92" s="1">
        <v>9386.6291666666693</v>
      </c>
      <c r="S92" s="1">
        <v>10461.24</v>
      </c>
      <c r="T92" s="1">
        <v>11865.2112962963</v>
      </c>
      <c r="U92" s="1">
        <v>13389.412936507901</v>
      </c>
      <c r="V92" s="1">
        <v>13308.3268020542</v>
      </c>
      <c r="W92" s="1">
        <v>13380.8338788891</v>
      </c>
      <c r="X92" s="1">
        <v>14236.938773481799</v>
      </c>
      <c r="Y92" s="1">
        <v>14147.671360545401</v>
      </c>
      <c r="Z92" s="1">
        <v>14582.203467817701</v>
      </c>
    </row>
    <row r="93" spans="1:26">
      <c r="A93" s="1" t="s">
        <v>443</v>
      </c>
      <c r="B93" s="1">
        <v>1751.18635583594</v>
      </c>
      <c r="C93" s="1">
        <v>1753.3454774828599</v>
      </c>
      <c r="D93" s="1">
        <v>1752.28599459359</v>
      </c>
      <c r="E93" s="1">
        <v>1753.35494977138</v>
      </c>
      <c r="F93" s="1">
        <v>1764.85606929191</v>
      </c>
      <c r="G93" s="1">
        <v>1753.98568465785</v>
      </c>
      <c r="H93" s="1">
        <v>6907.0344556165301</v>
      </c>
      <c r="I93" s="1">
        <v>8193.8875191666702</v>
      </c>
      <c r="J93" s="1">
        <v>8613.9894207500001</v>
      </c>
      <c r="K93" s="1">
        <v>8963.9589066666704</v>
      </c>
      <c r="L93" s="1">
        <v>9170.9428774999997</v>
      </c>
      <c r="M93" s="1">
        <v>9281.1518283333298</v>
      </c>
      <c r="N93" s="1">
        <v>9428.5282608333291</v>
      </c>
      <c r="O93" s="1">
        <v>9864.3024562682003</v>
      </c>
      <c r="P93" s="1">
        <v>10254.176470289</v>
      </c>
      <c r="Q93" s="1">
        <v>10616.306643907599</v>
      </c>
      <c r="R93" s="1">
        <v>12175.5472222222</v>
      </c>
      <c r="S93" s="1">
        <v>18414.448010037398</v>
      </c>
      <c r="T93" s="1">
        <v>25941.664144597202</v>
      </c>
      <c r="U93" s="1">
        <v>29011.491377053</v>
      </c>
      <c r="V93" s="1">
        <v>30914.8524362967</v>
      </c>
      <c r="W93" s="1">
        <v>33226.298152412703</v>
      </c>
      <c r="X93" s="1">
        <v>40864.329009777</v>
      </c>
      <c r="Y93" s="1">
        <v>42000</v>
      </c>
      <c r="Z93" s="1">
        <v>42000</v>
      </c>
    </row>
    <row r="94" spans="1:26">
      <c r="A94" s="1" t="s">
        <v>1089</v>
      </c>
      <c r="B94" s="1">
        <v>2002.3872123471699</v>
      </c>
      <c r="C94" s="1">
        <v>2002.3872123471699</v>
      </c>
      <c r="D94" s="1">
        <v>2002.3872445546799</v>
      </c>
      <c r="E94" s="1">
        <v>2002.3897728437</v>
      </c>
      <c r="F94" s="1">
        <v>2002.4034073535399</v>
      </c>
      <c r="G94" s="1">
        <v>2002.4049103703701</v>
      </c>
      <c r="H94" s="1">
        <v>2002.37270286683</v>
      </c>
      <c r="I94" s="1" t="s">
        <v>1210</v>
      </c>
      <c r="J94" s="1">
        <v>1453.4166666666699</v>
      </c>
      <c r="K94" s="1">
        <v>1472</v>
      </c>
      <c r="L94" s="1">
        <v>1467.4166666666699</v>
      </c>
      <c r="M94" s="1">
        <v>1254.5672185870401</v>
      </c>
      <c r="N94" s="1">
        <v>1193.0833333333301</v>
      </c>
      <c r="O94" s="1">
        <v>1170</v>
      </c>
      <c r="P94" s="1">
        <v>1170</v>
      </c>
      <c r="Q94" s="1">
        <v>1170</v>
      </c>
      <c r="R94" s="1">
        <v>1166.1666666666699</v>
      </c>
      <c r="S94" s="1">
        <v>1166</v>
      </c>
      <c r="T94" s="1">
        <v>1166</v>
      </c>
      <c r="U94" s="1">
        <v>1167.3333333333301</v>
      </c>
      <c r="V94" s="1">
        <v>1182</v>
      </c>
      <c r="W94" s="1">
        <v>1184</v>
      </c>
      <c r="X94" s="1">
        <v>1182.75</v>
      </c>
      <c r="Y94" s="1">
        <v>1182</v>
      </c>
      <c r="Z94" s="1">
        <v>1192</v>
      </c>
    </row>
    <row r="95" spans="1:26">
      <c r="A95" s="1" t="s">
        <v>1091</v>
      </c>
      <c r="B95" s="1">
        <v>0.62502836833333297</v>
      </c>
      <c r="C95" s="1">
        <v>0.65964312666666702</v>
      </c>
      <c r="D95" s="1">
        <v>0.70227099833333295</v>
      </c>
      <c r="E95" s="1" t="s">
        <v>1210</v>
      </c>
      <c r="F95" s="1" t="s">
        <v>1210</v>
      </c>
      <c r="G95" s="1" t="s">
        <v>1210</v>
      </c>
      <c r="H95" s="1" t="s">
        <v>1210</v>
      </c>
      <c r="I95" s="1" t="s">
        <v>1210</v>
      </c>
      <c r="J95" s="1" t="s">
        <v>1210</v>
      </c>
      <c r="K95" s="1" t="s">
        <v>1210</v>
      </c>
      <c r="L95" s="1" t="s">
        <v>1210</v>
      </c>
      <c r="M95" s="1" t="s">
        <v>1210</v>
      </c>
      <c r="N95" s="1" t="s">
        <v>1210</v>
      </c>
      <c r="O95" s="1" t="s">
        <v>1210</v>
      </c>
      <c r="P95" s="1" t="s">
        <v>1210</v>
      </c>
      <c r="Q95" s="1" t="s">
        <v>1210</v>
      </c>
      <c r="R95" s="1" t="s">
        <v>1210</v>
      </c>
      <c r="S95" s="1" t="s">
        <v>1210</v>
      </c>
      <c r="T95" s="1" t="s">
        <v>1210</v>
      </c>
      <c r="U95" s="1" t="s">
        <v>1210</v>
      </c>
      <c r="V95" s="1" t="s">
        <v>1210</v>
      </c>
      <c r="W95" s="1" t="s">
        <v>1210</v>
      </c>
      <c r="X95" s="1" t="s">
        <v>1210</v>
      </c>
      <c r="Y95" s="1" t="s">
        <v>1210</v>
      </c>
      <c r="Z95" s="1" t="s">
        <v>1210</v>
      </c>
    </row>
    <row r="96" spans="1:26">
      <c r="A96" s="1" t="s">
        <v>1180</v>
      </c>
      <c r="B96" s="1">
        <v>0.64095825500000003</v>
      </c>
      <c r="C96" s="1">
        <v>0.61083611416666705</v>
      </c>
      <c r="D96" s="1">
        <v>0.60382359416666698</v>
      </c>
      <c r="E96" s="1">
        <v>0.61805684500000002</v>
      </c>
      <c r="F96" s="1">
        <v>0.66093083333333302</v>
      </c>
      <c r="G96" s="1">
        <v>0.69465500000000002</v>
      </c>
      <c r="H96" s="1">
        <v>0.66722333333333295</v>
      </c>
      <c r="I96" s="1">
        <v>0.61247249999999998</v>
      </c>
      <c r="J96" s="1">
        <v>0.54618</v>
      </c>
      <c r="K96" s="1">
        <v>0.54999833333333303</v>
      </c>
      <c r="L96" s="1">
        <v>0.54348666666666701</v>
      </c>
      <c r="M96" s="1">
        <v>0.499771666666667</v>
      </c>
      <c r="N96" s="1">
        <v>0.54396624999999998</v>
      </c>
      <c r="O96" s="1">
        <v>0.64191926349599604</v>
      </c>
      <c r="P96" s="1">
        <v>0.64717934556016499</v>
      </c>
      <c r="Q96" s="1">
        <v>0.62414083574049495</v>
      </c>
      <c r="R96" s="1">
        <v>0.63304698885732702</v>
      </c>
      <c r="S96" s="1">
        <v>0.63966057761347705</v>
      </c>
      <c r="T96" s="1">
        <v>0.60772962687825505</v>
      </c>
      <c r="U96" s="1">
        <v>0.65454547893142601</v>
      </c>
      <c r="V96" s="1">
        <v>0.74063446369708397</v>
      </c>
      <c r="W96" s="1">
        <v>0.77697668234412298</v>
      </c>
      <c r="X96" s="1">
        <v>0.74953154025984703</v>
      </c>
      <c r="Y96" s="1">
        <v>0.78344511001192896</v>
      </c>
      <c r="Z96" s="1">
        <v>0.77999957669715303</v>
      </c>
    </row>
    <row r="97" spans="1:26">
      <c r="A97" s="1" t="s">
        <v>1093</v>
      </c>
      <c r="B97" s="1">
        <v>3.1916500000000001</v>
      </c>
      <c r="C97" s="1">
        <v>3.4493499999999999</v>
      </c>
      <c r="D97" s="1">
        <v>3.8000750000000001</v>
      </c>
      <c r="E97" s="1">
        <v>4.1397166666666703</v>
      </c>
      <c r="F97" s="1">
        <v>4.0773333333333301</v>
      </c>
      <c r="G97" s="1">
        <v>4.2056500000000003</v>
      </c>
      <c r="H97" s="1">
        <v>4.737825</v>
      </c>
      <c r="I97" s="1">
        <v>4.55413333333333</v>
      </c>
      <c r="J97" s="1">
        <v>4.4819833333333303</v>
      </c>
      <c r="K97" s="1">
        <v>4.4877000000000002</v>
      </c>
      <c r="L97" s="1">
        <v>4.45580833333333</v>
      </c>
      <c r="M97" s="1">
        <v>4.1080829490557802</v>
      </c>
      <c r="N97" s="1">
        <v>3.5880211940836899</v>
      </c>
      <c r="O97" s="1">
        <v>3.9323354779166699</v>
      </c>
      <c r="P97" s="1">
        <v>3.7389749999999999</v>
      </c>
      <c r="Q97" s="1">
        <v>3.5781293062201001</v>
      </c>
      <c r="R97" s="1">
        <v>3.8559218253968202</v>
      </c>
      <c r="S97" s="1">
        <v>3.61075833333333</v>
      </c>
      <c r="T97" s="1">
        <v>3.577925</v>
      </c>
      <c r="U97" s="1">
        <v>3.88683333333333</v>
      </c>
      <c r="V97" s="1">
        <v>3.8405666666666698</v>
      </c>
      <c r="W97" s="1">
        <v>3.5995555481283401</v>
      </c>
      <c r="X97" s="1">
        <v>3.59055812689938</v>
      </c>
      <c r="Y97" s="1">
        <v>3.5645273466109302</v>
      </c>
      <c r="Z97" s="1">
        <v>3.4424058519879202</v>
      </c>
    </row>
    <row r="98" spans="1:26">
      <c r="A98" s="1" t="s">
        <v>1095</v>
      </c>
      <c r="B98" s="1">
        <v>1542.9469666666701</v>
      </c>
      <c r="C98" s="1">
        <v>1703.09690833333</v>
      </c>
      <c r="D98" s="1">
        <v>1736.20738333333</v>
      </c>
      <c r="E98" s="1" t="s">
        <v>1210</v>
      </c>
      <c r="F98" s="1" t="s">
        <v>1210</v>
      </c>
      <c r="G98" s="1" t="s">
        <v>1210</v>
      </c>
      <c r="H98" s="1" t="s">
        <v>1210</v>
      </c>
      <c r="I98" s="1" t="s">
        <v>1210</v>
      </c>
      <c r="J98" s="1" t="s">
        <v>1210</v>
      </c>
      <c r="K98" s="1" t="s">
        <v>1210</v>
      </c>
      <c r="L98" s="1" t="s">
        <v>1210</v>
      </c>
      <c r="M98" s="1" t="s">
        <v>1210</v>
      </c>
      <c r="N98" s="1" t="s">
        <v>1210</v>
      </c>
      <c r="O98" s="1" t="s">
        <v>1210</v>
      </c>
      <c r="P98" s="1" t="s">
        <v>1210</v>
      </c>
      <c r="Q98" s="1" t="s">
        <v>1210</v>
      </c>
      <c r="R98" s="1" t="s">
        <v>1210</v>
      </c>
      <c r="S98" s="1" t="s">
        <v>1210</v>
      </c>
      <c r="T98" s="1" t="s">
        <v>1210</v>
      </c>
      <c r="U98" s="1" t="s">
        <v>1210</v>
      </c>
      <c r="V98" s="1" t="s">
        <v>1210</v>
      </c>
      <c r="W98" s="1" t="s">
        <v>1210</v>
      </c>
      <c r="X98" s="1" t="s">
        <v>1210</v>
      </c>
      <c r="Y98" s="1" t="s">
        <v>1210</v>
      </c>
      <c r="Z98" s="1" t="s">
        <v>1210</v>
      </c>
    </row>
    <row r="99" spans="1:26">
      <c r="A99" s="1" t="s">
        <v>1052</v>
      </c>
      <c r="B99" s="1">
        <v>37.119558333333302</v>
      </c>
      <c r="C99" s="1">
        <v>35.4044666666667</v>
      </c>
      <c r="D99" s="1">
        <v>36.549999999999997</v>
      </c>
      <c r="E99" s="1">
        <v>39.043516666666697</v>
      </c>
      <c r="F99" s="1">
        <v>42.985700000000001</v>
      </c>
      <c r="G99" s="1">
        <v>45.996250000000003</v>
      </c>
      <c r="H99" s="1">
        <v>48.415941666666697</v>
      </c>
      <c r="I99" s="1">
        <v>57.740873749999999</v>
      </c>
      <c r="J99" s="1">
        <v>61.197200000000002</v>
      </c>
      <c r="K99" s="1">
        <v>62.280714944083698</v>
      </c>
      <c r="L99" s="1">
        <v>65.743857539682494</v>
      </c>
      <c r="M99" s="1">
        <v>69.1921618494152</v>
      </c>
      <c r="N99" s="1">
        <v>72.756203406152096</v>
      </c>
      <c r="O99" s="1">
        <v>87.894119810653507</v>
      </c>
      <c r="P99" s="1">
        <v>87.196146330091494</v>
      </c>
      <c r="Q99" s="1">
        <v>85.893463202276493</v>
      </c>
      <c r="R99" s="1">
        <v>88.749802387645204</v>
      </c>
      <c r="S99" s="1">
        <v>100.39788320357999</v>
      </c>
      <c r="T99" s="1">
        <v>110.934527811188</v>
      </c>
      <c r="U99" s="1">
        <v>116.969776646049</v>
      </c>
      <c r="V99" s="1">
        <v>125.095034603174</v>
      </c>
      <c r="W99" s="1">
        <v>127.964544179198</v>
      </c>
      <c r="X99" s="1">
        <v>128.87151906465999</v>
      </c>
      <c r="Y99" s="1">
        <v>133.31211833795999</v>
      </c>
      <c r="Z99" s="1">
        <v>142.402832756013</v>
      </c>
    </row>
    <row r="100" spans="1:26">
      <c r="A100" s="1" t="s">
        <v>1098</v>
      </c>
      <c r="B100" s="1">
        <v>108.779056666667</v>
      </c>
      <c r="C100" s="1">
        <v>120.99086250000001</v>
      </c>
      <c r="D100" s="1">
        <v>130.90530066666699</v>
      </c>
      <c r="E100" s="1">
        <v>113.90680500000001</v>
      </c>
      <c r="F100" s="1">
        <v>107.765498333333</v>
      </c>
      <c r="G100" s="1">
        <v>121.5289475</v>
      </c>
      <c r="H100" s="1">
        <v>125.38801916666699</v>
      </c>
      <c r="I100" s="1">
        <v>115.93346416666699</v>
      </c>
      <c r="J100" s="1">
        <v>108.192569166667</v>
      </c>
      <c r="K100" s="1">
        <v>110.218211666667</v>
      </c>
      <c r="L100" s="1">
        <v>116.29931166666699</v>
      </c>
      <c r="M100" s="1">
        <v>117.75352916666699</v>
      </c>
      <c r="N100" s="1">
        <v>103.359493968254</v>
      </c>
      <c r="O100" s="1">
        <v>93.570089087045702</v>
      </c>
      <c r="P100" s="1">
        <v>87.779875000000004</v>
      </c>
      <c r="Q100" s="1">
        <v>79.807019832189198</v>
      </c>
      <c r="R100" s="1">
        <v>79.790455417006498</v>
      </c>
      <c r="S100" s="1">
        <v>97.595658277638506</v>
      </c>
      <c r="T100" s="1">
        <v>105.944781034025</v>
      </c>
      <c r="U100" s="1">
        <v>121.044025684011</v>
      </c>
      <c r="V100" s="1">
        <v>108.79290004683401</v>
      </c>
      <c r="W100" s="1">
        <v>112.166141081871</v>
      </c>
      <c r="X100" s="1">
        <v>110.42317934106001</v>
      </c>
      <c r="Y100" s="1">
        <v>109.009665900863</v>
      </c>
      <c r="Z100" s="1">
        <v>106.77458226243699</v>
      </c>
    </row>
    <row r="101" spans="1:26">
      <c r="A101" s="1" t="s">
        <v>1054</v>
      </c>
      <c r="B101" s="1">
        <v>0.70899999999999996</v>
      </c>
      <c r="C101" s="1">
        <v>0.70899999999999996</v>
      </c>
      <c r="D101" s="1">
        <v>0.70899999999999996</v>
      </c>
      <c r="E101" s="1">
        <v>0.70899999999999996</v>
      </c>
      <c r="F101" s="1">
        <v>0.70899999999999996</v>
      </c>
      <c r="G101" s="1">
        <v>0.708983174066667</v>
      </c>
      <c r="H101" s="1">
        <v>0.70899983333333305</v>
      </c>
      <c r="I101" s="1">
        <v>0.70899999999999996</v>
      </c>
      <c r="J101" s="1">
        <v>0.70899999999999996</v>
      </c>
      <c r="K101" s="1">
        <v>0.70899999999999996</v>
      </c>
      <c r="L101" s="1">
        <v>0.70899999999999996</v>
      </c>
      <c r="M101" s="1">
        <v>0.70899976666666698</v>
      </c>
      <c r="N101" s="1">
        <v>0.70966655000000001</v>
      </c>
      <c r="O101" s="1">
        <v>0.71</v>
      </c>
      <c r="P101" s="1">
        <v>0.71</v>
      </c>
      <c r="Q101" s="1">
        <v>0.71</v>
      </c>
      <c r="R101" s="1">
        <v>0.71</v>
      </c>
      <c r="S101" s="1">
        <v>0.71</v>
      </c>
      <c r="T101" s="1">
        <v>0.71</v>
      </c>
      <c r="U101" s="1">
        <v>0.71</v>
      </c>
      <c r="V101" s="1">
        <v>0.71</v>
      </c>
      <c r="W101" s="1">
        <v>0.71</v>
      </c>
      <c r="X101" s="1">
        <v>0.71</v>
      </c>
      <c r="Y101" s="1">
        <v>0.71</v>
      </c>
      <c r="Z101" s="1">
        <v>0.71</v>
      </c>
    </row>
    <row r="102" spans="1:26">
      <c r="A102" s="1" t="s">
        <v>1055</v>
      </c>
      <c r="B102" s="1">
        <v>67.303333333333299</v>
      </c>
      <c r="C102" s="1">
        <v>75.4375</v>
      </c>
      <c r="D102" s="1">
        <v>78.303333333333299</v>
      </c>
      <c r="E102" s="1">
        <v>119.523333333333</v>
      </c>
      <c r="F102" s="1">
        <v>142.13333333333301</v>
      </c>
      <c r="G102" s="1">
        <v>146.73583333333301</v>
      </c>
      <c r="H102" s="1">
        <v>153.27916666666701</v>
      </c>
      <c r="I102" s="1">
        <v>149.57583333333301</v>
      </c>
      <c r="J102" s="1">
        <v>136.035</v>
      </c>
      <c r="K102" s="1">
        <v>132.88</v>
      </c>
      <c r="L102" s="1">
        <v>126.08943055555601</v>
      </c>
      <c r="M102" s="1">
        <v>122.554166666667</v>
      </c>
      <c r="N102" s="1">
        <v>120.29916666666701</v>
      </c>
      <c r="O102" s="1">
        <v>147.49666666666701</v>
      </c>
      <c r="P102" s="1">
        <v>147.35499999999999</v>
      </c>
      <c r="Q102" s="1">
        <v>146.620833333333</v>
      </c>
      <c r="R102" s="1">
        <v>149.11250000000001</v>
      </c>
      <c r="S102" s="1">
        <v>152.129166666667</v>
      </c>
      <c r="T102" s="1">
        <v>179.191666666667</v>
      </c>
      <c r="U102" s="1">
        <v>221.72833333333301</v>
      </c>
      <c r="V102" s="1">
        <v>342.16</v>
      </c>
      <c r="W102" s="1">
        <v>326.00102272727298</v>
      </c>
      <c r="X102" s="1">
        <v>344.70583333333298</v>
      </c>
      <c r="Y102" s="1">
        <v>382.74731060606098</v>
      </c>
      <c r="Z102" s="1">
        <v>412.95333333333298</v>
      </c>
    </row>
    <row r="103" spans="1:26">
      <c r="A103" s="1" t="s">
        <v>382</v>
      </c>
      <c r="B103" s="1">
        <v>57.1148666666667</v>
      </c>
      <c r="C103" s="1">
        <v>58.731841666666703</v>
      </c>
      <c r="D103" s="1">
        <v>60.366700000000002</v>
      </c>
      <c r="E103" s="1">
        <v>70.326216666666696</v>
      </c>
      <c r="F103" s="1">
        <v>76.175541666666703</v>
      </c>
      <c r="G103" s="1">
        <v>78.563194999999993</v>
      </c>
      <c r="H103" s="1">
        <v>78.749141666666702</v>
      </c>
      <c r="I103" s="1">
        <v>75.935569444444397</v>
      </c>
      <c r="J103" s="1">
        <v>79.173876064213601</v>
      </c>
      <c r="K103" s="1">
        <v>75.554109451431103</v>
      </c>
      <c r="L103" s="1">
        <v>72.100835017862096</v>
      </c>
      <c r="M103" s="1">
        <v>67.316666666666706</v>
      </c>
      <c r="N103" s="1">
        <v>69.175833333333301</v>
      </c>
      <c r="O103" s="1">
        <v>77.350833333333298</v>
      </c>
      <c r="P103" s="1">
        <v>79.233333333333306</v>
      </c>
      <c r="Q103" s="1">
        <v>88.811666666666696</v>
      </c>
      <c r="R103" s="1">
        <v>84.53</v>
      </c>
      <c r="S103" s="1">
        <v>86.123333333333306</v>
      </c>
      <c r="T103" s="1">
        <v>87.922499999999999</v>
      </c>
      <c r="U103" s="1">
        <v>98.179166666666703</v>
      </c>
      <c r="V103" s="1">
        <v>101.504166666667</v>
      </c>
      <c r="W103" s="1">
        <v>103.41044618568</v>
      </c>
      <c r="X103" s="1">
        <v>101.301574049018</v>
      </c>
      <c r="Y103" s="1">
        <v>101.99129838935001</v>
      </c>
      <c r="Z103" s="1">
        <v>106.45078015851701</v>
      </c>
    </row>
    <row r="104" spans="1:26">
      <c r="A104" s="1" t="s">
        <v>1102</v>
      </c>
      <c r="B104" s="1">
        <v>1.27786333333333</v>
      </c>
      <c r="C104" s="1">
        <v>1.34738</v>
      </c>
      <c r="D104" s="1">
        <v>1.5918283333333301</v>
      </c>
      <c r="E104" s="1">
        <v>1.5499499999999999</v>
      </c>
      <c r="F104" s="1">
        <v>1.7248266666666701</v>
      </c>
      <c r="G104" s="1">
        <v>1.9334425</v>
      </c>
      <c r="H104" s="1">
        <v>1.8405625000000001</v>
      </c>
      <c r="I104" s="1">
        <v>1.54191416666667</v>
      </c>
      <c r="J104" s="1">
        <v>1.3597524999999999</v>
      </c>
      <c r="K104" s="1">
        <v>1.3094733333333299</v>
      </c>
      <c r="L104" s="1">
        <v>1.3279734405000001</v>
      </c>
      <c r="M104" s="1">
        <v>1.1950725</v>
      </c>
      <c r="N104" s="1">
        <v>1.19217833333333</v>
      </c>
      <c r="O104" s="1">
        <v>1.28218881008452</v>
      </c>
      <c r="P104" s="1">
        <v>1.0901594863867701</v>
      </c>
      <c r="Q104" s="1">
        <v>0.96946320149673504</v>
      </c>
      <c r="R104" s="1">
        <v>0.96580103065870804</v>
      </c>
      <c r="S104" s="1">
        <v>1.0358430965205401</v>
      </c>
      <c r="T104" s="1">
        <v>1.1093632928169199</v>
      </c>
      <c r="U104" s="1">
        <v>1.33109026245502</v>
      </c>
      <c r="V104" s="1">
        <v>1.3452139760194699</v>
      </c>
      <c r="W104" s="1">
        <v>1.3047580767159199</v>
      </c>
      <c r="X104" s="1">
        <v>1.33841214646451</v>
      </c>
      <c r="Y104" s="1">
        <v>1.4385065442138201</v>
      </c>
      <c r="Z104" s="1">
        <v>1.4530851184701601</v>
      </c>
    </row>
    <row r="105" spans="1:26">
      <c r="A105" s="1" t="s">
        <v>1195</v>
      </c>
      <c r="B105" s="1" t="s">
        <v>1210</v>
      </c>
      <c r="C105" s="1" t="s">
        <v>1210</v>
      </c>
      <c r="D105" s="1" t="s">
        <v>1210</v>
      </c>
      <c r="E105" s="1" t="s">
        <v>1210</v>
      </c>
      <c r="F105" s="1" t="s">
        <v>1210</v>
      </c>
      <c r="G105" s="1" t="s">
        <v>1210</v>
      </c>
      <c r="H105" s="1" t="s">
        <v>1210</v>
      </c>
      <c r="I105" s="1" t="s">
        <v>1210</v>
      </c>
      <c r="J105" s="1" t="s">
        <v>1210</v>
      </c>
      <c r="K105" s="1" t="s">
        <v>1210</v>
      </c>
      <c r="L105" s="1" t="s">
        <v>1210</v>
      </c>
      <c r="M105" s="1" t="s">
        <v>1210</v>
      </c>
      <c r="N105" s="1" t="s">
        <v>1210</v>
      </c>
      <c r="O105" s="1" t="s">
        <v>1210</v>
      </c>
      <c r="P105" s="1" t="s">
        <v>1210</v>
      </c>
      <c r="Q105" s="1" t="s">
        <v>1210</v>
      </c>
      <c r="R105" s="1" t="s">
        <v>1210</v>
      </c>
      <c r="S105" s="1" t="s">
        <v>1210</v>
      </c>
      <c r="T105" s="1" t="s">
        <v>1210</v>
      </c>
      <c r="U105" s="1" t="s">
        <v>1210</v>
      </c>
      <c r="V105" s="1" t="s">
        <v>1210</v>
      </c>
      <c r="W105" s="1" t="s">
        <v>1210</v>
      </c>
      <c r="X105" s="1" t="s">
        <v>1210</v>
      </c>
      <c r="Y105" s="1" t="s">
        <v>1210</v>
      </c>
      <c r="Z105" s="1" t="s">
        <v>1210</v>
      </c>
    </row>
    <row r="106" spans="1:26">
      <c r="A106" s="1" t="s">
        <v>1103</v>
      </c>
      <c r="B106" s="1">
        <v>804.45749999999998</v>
      </c>
      <c r="C106" s="1">
        <v>949.89</v>
      </c>
      <c r="D106" s="1">
        <v>1403.18333333333</v>
      </c>
      <c r="E106" s="1">
        <v>1189.43916666667</v>
      </c>
      <c r="F106" s="1">
        <v>1130.3625</v>
      </c>
      <c r="G106" s="1">
        <v>1290.79</v>
      </c>
      <c r="H106" s="1">
        <v>1251.6025</v>
      </c>
      <c r="I106" s="1">
        <v>1191.6458333333301</v>
      </c>
      <c r="J106" s="1">
        <v>1146.2491666666699</v>
      </c>
      <c r="K106" s="1">
        <v>1024.32833333333</v>
      </c>
      <c r="L106" s="1">
        <v>955.34083333333297</v>
      </c>
      <c r="M106" s="1">
        <v>929.37583333333305</v>
      </c>
      <c r="N106" s="1">
        <v>1100.1258333333301</v>
      </c>
      <c r="O106" s="1">
        <v>1277.24583333333</v>
      </c>
      <c r="P106" s="1">
        <v>1156.46</v>
      </c>
      <c r="Q106" s="1">
        <v>1108.2333333333299</v>
      </c>
      <c r="R106" s="1">
        <v>1126.80666666667</v>
      </c>
      <c r="S106" s="1">
        <v>1094.9825000000001</v>
      </c>
      <c r="T106" s="1">
        <v>1052.8399999999999</v>
      </c>
      <c r="U106" s="1">
        <v>1130.9525000000001</v>
      </c>
      <c r="V106" s="1">
        <v>1160.7674999999999</v>
      </c>
      <c r="W106" s="1">
        <v>1131.0008333333301</v>
      </c>
      <c r="X106" s="1">
        <v>1100.16333333333</v>
      </c>
      <c r="Y106" s="1">
        <v>1165.3575000000001</v>
      </c>
      <c r="Z106" s="1">
        <v>1180.26583333333</v>
      </c>
    </row>
    <row r="107" spans="1:26">
      <c r="A107" s="1" t="s">
        <v>1105</v>
      </c>
      <c r="B107" s="1" t="s">
        <v>1210</v>
      </c>
      <c r="C107" s="1" t="s">
        <v>1210</v>
      </c>
      <c r="D107" s="1" t="s">
        <v>1210</v>
      </c>
      <c r="E107" s="1" t="s">
        <v>1210</v>
      </c>
      <c r="F107" s="1" t="s">
        <v>1210</v>
      </c>
      <c r="G107" s="1" t="s">
        <v>1210</v>
      </c>
      <c r="H107" s="1">
        <v>1.0575589962396501</v>
      </c>
      <c r="I107" s="1">
        <v>0.88404792718496095</v>
      </c>
      <c r="J107" s="1">
        <v>0.80392164774760499</v>
      </c>
      <c r="K107" s="1">
        <v>0.80380019216141596</v>
      </c>
      <c r="L107" s="1">
        <v>0.79643273094909595</v>
      </c>
      <c r="M107" s="1">
        <v>0.72967239998408795</v>
      </c>
      <c r="N107" s="1">
        <v>0.67992268004272904</v>
      </c>
      <c r="O107" s="1">
        <v>0.71695770201613596</v>
      </c>
      <c r="P107" s="1">
        <v>0.75430899010597896</v>
      </c>
      <c r="Q107" s="1">
        <v>0.71841389865332195</v>
      </c>
      <c r="R107" s="1">
        <v>0.77833812041681205</v>
      </c>
      <c r="S107" s="1">
        <v>0.75294512270200198</v>
      </c>
      <c r="T107" s="1">
        <v>0.75272819693259096</v>
      </c>
      <c r="U107" s="1">
        <v>0.90129642336709603</v>
      </c>
      <c r="V107" s="1">
        <v>0.90342143625728799</v>
      </c>
      <c r="W107" s="1">
        <v>0.88520550826938005</v>
      </c>
      <c r="X107" s="1">
        <v>0.84677266710809596</v>
      </c>
      <c r="Y107" s="1">
        <v>0.89321558147922597</v>
      </c>
      <c r="Z107" s="1">
        <v>0.87747520723301198</v>
      </c>
    </row>
    <row r="108" spans="1:26">
      <c r="A108" s="1" t="s">
        <v>1182</v>
      </c>
      <c r="B108" s="1">
        <v>0.29940856333333299</v>
      </c>
      <c r="C108" s="1">
        <v>0.30334883499999998</v>
      </c>
      <c r="D108" s="1">
        <v>0.30475563999999999</v>
      </c>
      <c r="E108" s="1">
        <v>0.304414666666667</v>
      </c>
      <c r="F108" s="1">
        <v>0.30675158333333302</v>
      </c>
      <c r="G108" s="1">
        <v>0.30668166666666702</v>
      </c>
      <c r="H108" s="1">
        <v>0.30391425166666702</v>
      </c>
      <c r="I108" s="1">
        <v>0.29801152108333301</v>
      </c>
      <c r="J108" s="1">
        <v>0.29470000000000002</v>
      </c>
      <c r="K108" s="1">
        <v>0.29199999999999998</v>
      </c>
      <c r="L108" s="1">
        <v>0.29017622500000001</v>
      </c>
      <c r="M108" s="1">
        <v>0.28421395833333302</v>
      </c>
      <c r="N108" s="1">
        <v>0.26882836666666698</v>
      </c>
      <c r="O108" s="1">
        <v>0.28778541666666702</v>
      </c>
      <c r="P108" s="1">
        <v>0.28660659166666702</v>
      </c>
      <c r="Q108" s="1">
        <v>0.27597894444444399</v>
      </c>
      <c r="R108" s="1">
        <v>0.279935558333333</v>
      </c>
      <c r="S108" s="1">
        <v>0.283589441666667</v>
      </c>
      <c r="T108" s="1">
        <v>0.28456714166666702</v>
      </c>
      <c r="U108" s="1">
        <v>0.30085202500000002</v>
      </c>
      <c r="V108" s="1">
        <v>0.302137441178496</v>
      </c>
      <c r="W108" s="1">
        <v>0.303349758333333</v>
      </c>
      <c r="X108" s="1">
        <v>0.30195649352417703</v>
      </c>
      <c r="Y108" s="1">
        <v>0.30361116303575503</v>
      </c>
      <c r="Z108" s="1">
        <v>0.30623312175671602</v>
      </c>
    </row>
    <row r="109" spans="1:26">
      <c r="A109" s="1" t="s">
        <v>1106</v>
      </c>
      <c r="B109" s="1">
        <v>12.8095583333333</v>
      </c>
      <c r="C109" s="1">
        <v>17.362491666666699</v>
      </c>
      <c r="D109" s="1">
        <v>20.837566666666699</v>
      </c>
      <c r="E109" s="1">
        <v>39.007733333333299</v>
      </c>
      <c r="F109" s="1">
        <v>47.7038333333333</v>
      </c>
      <c r="G109" s="1">
        <v>48.377958333333297</v>
      </c>
      <c r="H109" s="1">
        <v>46.937066666666702</v>
      </c>
      <c r="I109" s="1">
        <v>43.648375000000001</v>
      </c>
      <c r="J109" s="1">
        <v>42.649941666666699</v>
      </c>
      <c r="K109" s="1">
        <v>41.011820505934899</v>
      </c>
      <c r="L109" s="1">
        <v>40.152899945420501</v>
      </c>
      <c r="M109" s="1">
        <v>37.316256805555597</v>
      </c>
      <c r="N109" s="1">
        <v>36.574591666666699</v>
      </c>
      <c r="O109" s="1">
        <v>42.904108333333298</v>
      </c>
      <c r="P109" s="1">
        <v>45.964261400813903</v>
      </c>
      <c r="Q109" s="1">
        <v>46.143901317204303</v>
      </c>
      <c r="R109" s="1">
        <v>47.004479142256798</v>
      </c>
      <c r="S109" s="1">
        <v>48.438059008772598</v>
      </c>
      <c r="T109" s="1">
        <v>53.654058312852001</v>
      </c>
      <c r="U109" s="1">
        <v>64.462108272529406</v>
      </c>
      <c r="V109" s="1">
        <v>69.914065825299701</v>
      </c>
      <c r="W109" s="1">
        <v>68.866667859063</v>
      </c>
      <c r="X109" s="1">
        <v>68.840320327700994</v>
      </c>
      <c r="Y109" s="1">
        <v>69.789349180747607</v>
      </c>
      <c r="Z109" s="1">
        <v>77.346112703930302</v>
      </c>
    </row>
    <row r="110" spans="1:26">
      <c r="A110" s="1" t="s">
        <v>1107</v>
      </c>
      <c r="B110" s="1">
        <v>921.02166666666699</v>
      </c>
      <c r="C110" s="1">
        <v>1259.9791666666699</v>
      </c>
      <c r="D110" s="1">
        <v>3298.3333333333298</v>
      </c>
      <c r="E110" s="1">
        <v>7102.0249999999996</v>
      </c>
      <c r="F110" s="1">
        <v>7887.6433333333298</v>
      </c>
      <c r="G110" s="1">
        <v>8954.5833333333303</v>
      </c>
      <c r="H110" s="1">
        <v>10056.333333333299</v>
      </c>
      <c r="I110" s="1">
        <v>10569.0375</v>
      </c>
      <c r="J110" s="1">
        <v>10585.375</v>
      </c>
      <c r="K110" s="1">
        <v>10655.166666666701</v>
      </c>
      <c r="L110" s="1">
        <v>10153.6240754273</v>
      </c>
      <c r="M110" s="1">
        <v>9602.7288182027296</v>
      </c>
      <c r="N110" s="1">
        <v>8740.18140302543</v>
      </c>
      <c r="O110" s="1">
        <v>8511.3511630569301</v>
      </c>
      <c r="P110" s="1">
        <v>8258.0802082447608</v>
      </c>
      <c r="Q110" s="1">
        <v>8030.0550000000003</v>
      </c>
      <c r="R110" s="1">
        <v>8007.7574999999997</v>
      </c>
      <c r="S110" s="1">
        <v>7860.1374999999998</v>
      </c>
      <c r="T110" s="1">
        <v>8048.9603333333298</v>
      </c>
      <c r="U110" s="1">
        <v>8147.9079559326101</v>
      </c>
      <c r="V110" s="1">
        <v>8179.2683333333298</v>
      </c>
      <c r="W110" s="1">
        <v>8348.7251203773594</v>
      </c>
      <c r="X110" s="1">
        <v>8481.0338143306399</v>
      </c>
      <c r="Y110" s="1">
        <v>8796.7892795341704</v>
      </c>
      <c r="Z110" s="1">
        <v>9143.9358398680906</v>
      </c>
    </row>
    <row r="111" spans="1:26">
      <c r="A111" s="1" t="s">
        <v>1109</v>
      </c>
      <c r="B111" s="1">
        <v>0.55074999999999996</v>
      </c>
      <c r="C111" s="1">
        <v>0.58091666666666697</v>
      </c>
      <c r="D111" s="1">
        <v>0.58983333333333299</v>
      </c>
      <c r="E111" s="1">
        <v>0.58516666666666695</v>
      </c>
      <c r="F111" s="1">
        <v>0.60650000000000004</v>
      </c>
      <c r="G111" s="1">
        <v>0.62791666666666701</v>
      </c>
      <c r="H111" s="1">
        <v>0.61819166666666703</v>
      </c>
      <c r="I111" s="1">
        <v>0.57147499999999996</v>
      </c>
      <c r="J111" s="1">
        <v>0.54023333333333301</v>
      </c>
      <c r="K111" s="1">
        <v>0.56471666666666698</v>
      </c>
      <c r="L111" s="1">
        <v>0.56040833333333295</v>
      </c>
      <c r="M111" s="1">
        <v>0.51379166666666698</v>
      </c>
      <c r="N111" s="1">
        <v>0.480816666666667</v>
      </c>
      <c r="O111" s="1">
        <v>0.50555000000000005</v>
      </c>
      <c r="P111" s="1">
        <v>0.53047500000000003</v>
      </c>
      <c r="Q111" s="1">
        <v>0.50123333333333298</v>
      </c>
      <c r="R111" s="1">
        <v>0.546875</v>
      </c>
      <c r="S111" s="1">
        <v>0.52939166666666704</v>
      </c>
      <c r="T111" s="1" t="s">
        <v>1210</v>
      </c>
      <c r="U111" s="1" t="s">
        <v>1210</v>
      </c>
      <c r="V111" s="1" t="s">
        <v>1210</v>
      </c>
      <c r="W111" s="1" t="s">
        <v>1210</v>
      </c>
      <c r="X111" s="1" t="s">
        <v>1210</v>
      </c>
      <c r="Y111" s="1" t="s">
        <v>1210</v>
      </c>
      <c r="Z111" s="1" t="s">
        <v>1210</v>
      </c>
    </row>
    <row r="112" spans="1:26">
      <c r="A112" s="1" t="s">
        <v>1057</v>
      </c>
      <c r="B112" s="1">
        <v>1571.4441666666701</v>
      </c>
      <c r="C112" s="1">
        <v>1539.45</v>
      </c>
      <c r="D112" s="1">
        <v>1516.1316666666701</v>
      </c>
      <c r="E112" s="1">
        <v>1507.5</v>
      </c>
      <c r="F112" s="1">
        <v>1507.5</v>
      </c>
      <c r="G112" s="1">
        <v>1507.5</v>
      </c>
      <c r="H112" s="1">
        <v>1507.5</v>
      </c>
      <c r="I112" s="1">
        <v>1507.5</v>
      </c>
      <c r="J112" s="1">
        <v>1507.5</v>
      </c>
      <c r="K112" s="1">
        <v>1507.5</v>
      </c>
      <c r="L112" s="1">
        <v>1507.5</v>
      </c>
      <c r="M112" s="1">
        <v>1507.5</v>
      </c>
      <c r="N112" s="1">
        <v>1507.5</v>
      </c>
      <c r="O112" s="1">
        <v>1507.5</v>
      </c>
      <c r="P112" s="1">
        <v>1507.5</v>
      </c>
      <c r="Q112" s="1">
        <v>1507.5</v>
      </c>
      <c r="R112" s="1">
        <v>1507.5</v>
      </c>
      <c r="S112" s="1">
        <v>1507.5</v>
      </c>
      <c r="T112" s="1">
        <v>1507.5</v>
      </c>
      <c r="U112" s="1">
        <v>1507.5</v>
      </c>
      <c r="V112" s="1">
        <v>1507.5</v>
      </c>
      <c r="W112" s="1">
        <v>1507.5</v>
      </c>
      <c r="X112" s="1">
        <v>1507.5</v>
      </c>
      <c r="Y112" s="1">
        <v>1507.5</v>
      </c>
      <c r="Z112" s="1">
        <v>1507.5</v>
      </c>
    </row>
    <row r="113" spans="1:26">
      <c r="A113" s="1" t="s">
        <v>1059</v>
      </c>
      <c r="B113" s="1">
        <v>4.2993491666666701</v>
      </c>
      <c r="C113" s="1">
        <v>4.6079616666666698</v>
      </c>
      <c r="D113" s="1">
        <v>5.52828416666667</v>
      </c>
      <c r="E113" s="1">
        <v>6.1094841666666699</v>
      </c>
      <c r="F113" s="1">
        <v>6.9398283333333302</v>
      </c>
      <c r="G113" s="1">
        <v>8.6091808333333297</v>
      </c>
      <c r="H113" s="1">
        <v>10.540746666666699</v>
      </c>
      <c r="I113" s="1">
        <v>7.5647491666666697</v>
      </c>
      <c r="J113" s="1">
        <v>6.4596925000000001</v>
      </c>
      <c r="K113" s="1">
        <v>6.3593283333333304</v>
      </c>
      <c r="L113" s="1">
        <v>6.7715491666666701</v>
      </c>
      <c r="M113" s="1">
        <v>7.0453650000000003</v>
      </c>
      <c r="N113" s="1">
        <v>8.26122333333333</v>
      </c>
      <c r="O113" s="1">
        <v>8.4736741582488797</v>
      </c>
      <c r="P113" s="1">
        <v>7.3212219611528804</v>
      </c>
      <c r="Q113" s="1">
        <v>7.2611321323273499</v>
      </c>
      <c r="R113" s="1">
        <v>8.2099686265933105</v>
      </c>
      <c r="S113" s="1">
        <v>9.6550560691352594</v>
      </c>
      <c r="T113" s="1">
        <v>10.852655568783099</v>
      </c>
      <c r="U113" s="1">
        <v>12.7589308811644</v>
      </c>
      <c r="V113" s="1">
        <v>14.7096108855267</v>
      </c>
      <c r="W113" s="1">
        <v>13.3238014244992</v>
      </c>
      <c r="X113" s="1">
        <v>13.233926471583301</v>
      </c>
      <c r="Y113" s="1">
        <v>14.448427054833299</v>
      </c>
      <c r="Z113" s="1">
        <v>16.473186874346499</v>
      </c>
    </row>
    <row r="114" spans="1:26">
      <c r="A114" s="1" t="s">
        <v>1113</v>
      </c>
      <c r="B114" s="1">
        <v>46.837499999999999</v>
      </c>
      <c r="C114" s="1">
        <v>50.57</v>
      </c>
      <c r="D114" s="1">
        <v>41.5075</v>
      </c>
      <c r="E114" s="1">
        <v>41.902500000000003</v>
      </c>
      <c r="F114" s="1">
        <v>40.902500000000003</v>
      </c>
      <c r="G114" s="1">
        <v>48.591908993784003</v>
      </c>
      <c r="H114" s="1">
        <v>61.754166666666698</v>
      </c>
      <c r="I114" s="1">
        <v>59.378833333333297</v>
      </c>
      <c r="J114" s="1">
        <v>54.905833333333298</v>
      </c>
      <c r="K114" s="1">
        <v>57.095833333333303</v>
      </c>
      <c r="L114" s="1">
        <v>58.0133333333333</v>
      </c>
      <c r="M114" s="1">
        <v>61.272222222222197</v>
      </c>
      <c r="N114" s="1">
        <v>63.207500000000003</v>
      </c>
      <c r="O114" s="1">
        <v>68.286666666666704</v>
      </c>
      <c r="P114" s="1">
        <v>71.403333333333293</v>
      </c>
      <c r="Q114" s="1">
        <v>72.226666666666702</v>
      </c>
      <c r="R114" s="1">
        <v>73.514772079772101</v>
      </c>
      <c r="S114" s="1">
        <v>77.52</v>
      </c>
      <c r="T114" s="1">
        <v>83.892499999999998</v>
      </c>
      <c r="U114" s="1">
        <v>86.188366571699902</v>
      </c>
      <c r="V114" s="1">
        <v>94.427243589743597</v>
      </c>
      <c r="W114" s="1">
        <v>112.706666666667</v>
      </c>
      <c r="X114" s="1">
        <v>144.055575801282</v>
      </c>
      <c r="Y114" s="1">
        <v>186.42974455107199</v>
      </c>
      <c r="Z114" s="1">
        <v>191.51795764346301</v>
      </c>
    </row>
    <row r="115" spans="1:26">
      <c r="A115" s="1" t="s">
        <v>1115</v>
      </c>
      <c r="B115" s="1">
        <v>0.43679976921490199</v>
      </c>
      <c r="C115" s="1">
        <v>0.46086611531154598</v>
      </c>
      <c r="D115" s="1">
        <v>0.46757443745260102</v>
      </c>
      <c r="E115" s="1">
        <v>0.463810768619974</v>
      </c>
      <c r="F115" s="1">
        <v>0.51218961330833301</v>
      </c>
      <c r="G115" s="1">
        <v>0.60506425362333305</v>
      </c>
      <c r="H115" s="1">
        <v>1.2706791739733301</v>
      </c>
      <c r="I115" s="1">
        <v>1.29294412808415</v>
      </c>
      <c r="J115" s="1">
        <v>1.3049661442676701</v>
      </c>
      <c r="K115" s="1">
        <v>1.3083848239159199</v>
      </c>
      <c r="L115" s="1">
        <v>1.3135716247906699</v>
      </c>
      <c r="M115" s="1">
        <v>1.26264486767833</v>
      </c>
      <c r="N115" s="1">
        <v>1.2235623934186699</v>
      </c>
      <c r="O115" s="1">
        <v>1.2535344886256801</v>
      </c>
      <c r="P115" s="1">
        <v>1.26678941001316</v>
      </c>
      <c r="Q115" s="1">
        <v>1.2241524946034601</v>
      </c>
      <c r="R115" s="1">
        <v>1.26165963821484</v>
      </c>
      <c r="S115" s="1">
        <v>1.2716918211177399</v>
      </c>
      <c r="T115" s="1">
        <v>1.27240206718888</v>
      </c>
      <c r="U115" s="1">
        <v>1.38120985962103</v>
      </c>
      <c r="V115" s="1">
        <v>1.39036867889833</v>
      </c>
      <c r="W115" s="1">
        <v>1.3938200108234999</v>
      </c>
      <c r="X115" s="1">
        <v>1.36496666666667</v>
      </c>
      <c r="Y115" s="1">
        <v>1.3982628973692799</v>
      </c>
      <c r="Z115" s="1" t="s">
        <v>1210</v>
      </c>
    </row>
    <row r="116" spans="1:26">
      <c r="A116" s="1" t="s">
        <v>1186</v>
      </c>
      <c r="B116" s="1" t="s">
        <v>1210</v>
      </c>
      <c r="C116" s="1" t="s">
        <v>1210</v>
      </c>
      <c r="D116" s="1" t="s">
        <v>1210</v>
      </c>
      <c r="E116" s="1" t="s">
        <v>1210</v>
      </c>
      <c r="F116" s="1" t="s">
        <v>1210</v>
      </c>
      <c r="G116" s="1" t="s">
        <v>1210</v>
      </c>
      <c r="H116" s="1" t="s">
        <v>1210</v>
      </c>
      <c r="I116" s="1" t="s">
        <v>1210</v>
      </c>
      <c r="J116" s="1" t="s">
        <v>1210</v>
      </c>
      <c r="K116" s="1" t="s">
        <v>1210</v>
      </c>
      <c r="L116" s="1" t="s">
        <v>1210</v>
      </c>
      <c r="M116" s="1" t="s">
        <v>1210</v>
      </c>
      <c r="N116" s="1" t="s">
        <v>1210</v>
      </c>
      <c r="O116" s="1" t="s">
        <v>1210</v>
      </c>
      <c r="P116" s="1" t="s">
        <v>1210</v>
      </c>
      <c r="Q116" s="1" t="s">
        <v>1210</v>
      </c>
      <c r="R116" s="1" t="s">
        <v>1210</v>
      </c>
      <c r="S116" s="1" t="s">
        <v>1210</v>
      </c>
      <c r="T116" s="1" t="s">
        <v>1210</v>
      </c>
      <c r="U116" s="1" t="s">
        <v>1210</v>
      </c>
      <c r="V116" s="1" t="s">
        <v>1210</v>
      </c>
      <c r="W116" s="1" t="s">
        <v>1210</v>
      </c>
      <c r="X116" s="1" t="s">
        <v>1210</v>
      </c>
      <c r="Y116" s="1" t="s">
        <v>1210</v>
      </c>
      <c r="Z116" s="1" t="s">
        <v>1210</v>
      </c>
    </row>
    <row r="117" spans="1:26">
      <c r="A117" s="1" t="s">
        <v>1117</v>
      </c>
      <c r="B117" s="1">
        <v>4</v>
      </c>
      <c r="C117" s="1">
        <v>4</v>
      </c>
      <c r="D117" s="1">
        <v>4</v>
      </c>
      <c r="E117" s="1">
        <v>4</v>
      </c>
      <c r="F117" s="1">
        <v>4</v>
      </c>
      <c r="G117" s="1">
        <v>4</v>
      </c>
      <c r="H117" s="1">
        <v>3.6769583333333302</v>
      </c>
      <c r="I117" s="1">
        <v>3.0608666666666702</v>
      </c>
      <c r="J117" s="1">
        <v>2.7805916666666701</v>
      </c>
      <c r="K117" s="1">
        <v>2.774025</v>
      </c>
      <c r="L117" s="1">
        <v>2.7522250000000001</v>
      </c>
      <c r="M117" s="1">
        <v>2.5237250000000002</v>
      </c>
      <c r="N117" s="1">
        <v>2.357075</v>
      </c>
      <c r="O117" s="1">
        <v>2.48403333333333</v>
      </c>
      <c r="P117" s="1">
        <v>2.6063333333333301</v>
      </c>
      <c r="Q117" s="1">
        <v>2.4811000000000001</v>
      </c>
      <c r="R117" s="1">
        <v>2.6862916666666701</v>
      </c>
      <c r="S117" s="1">
        <v>2.60100833333333</v>
      </c>
      <c r="T117" s="1">
        <v>2.6002916666666702</v>
      </c>
      <c r="U117" s="1" t="s">
        <v>1210</v>
      </c>
      <c r="V117" s="1" t="s">
        <v>1210</v>
      </c>
      <c r="W117" s="1" t="s">
        <v>1210</v>
      </c>
      <c r="X117" s="1" t="s">
        <v>1210</v>
      </c>
      <c r="Y117" s="1" t="s">
        <v>1210</v>
      </c>
      <c r="Z117" s="1" t="s">
        <v>1210</v>
      </c>
    </row>
    <row r="118" spans="1:26">
      <c r="A118" s="1" t="s">
        <v>1119</v>
      </c>
      <c r="B118" s="1">
        <v>30.961513333333301</v>
      </c>
      <c r="C118" s="1">
        <v>35.773890833333297</v>
      </c>
      <c r="D118" s="1">
        <v>36.298640833333302</v>
      </c>
      <c r="E118" s="1" t="s">
        <v>1210</v>
      </c>
      <c r="F118" s="1" t="s">
        <v>1210</v>
      </c>
      <c r="G118" s="1" t="s">
        <v>1210</v>
      </c>
      <c r="H118" s="1" t="s">
        <v>1210</v>
      </c>
      <c r="I118" s="1" t="s">
        <v>1210</v>
      </c>
      <c r="J118" s="1" t="s">
        <v>1210</v>
      </c>
      <c r="K118" s="1" t="s">
        <v>1210</v>
      </c>
      <c r="L118" s="1" t="s">
        <v>1210</v>
      </c>
      <c r="M118" s="1" t="s">
        <v>1210</v>
      </c>
      <c r="N118" s="1" t="s">
        <v>1210</v>
      </c>
      <c r="O118" s="1" t="s">
        <v>1210</v>
      </c>
      <c r="P118" s="1" t="s">
        <v>1210</v>
      </c>
      <c r="Q118" s="1" t="s">
        <v>1210</v>
      </c>
      <c r="R118" s="1" t="s">
        <v>1210</v>
      </c>
      <c r="S118" s="1" t="s">
        <v>1210</v>
      </c>
      <c r="T118" s="1" t="s">
        <v>1210</v>
      </c>
      <c r="U118" s="1" t="s">
        <v>1210</v>
      </c>
      <c r="V118" s="1" t="s">
        <v>1210</v>
      </c>
      <c r="W118" s="1" t="s">
        <v>1210</v>
      </c>
      <c r="X118" s="1" t="s">
        <v>1210</v>
      </c>
      <c r="Y118" s="1" t="s">
        <v>1210</v>
      </c>
      <c r="Z118" s="1" t="s">
        <v>1210</v>
      </c>
    </row>
    <row r="119" spans="1:26">
      <c r="A119" s="1" t="s">
        <v>1121</v>
      </c>
      <c r="B119" s="1">
        <v>7.9664000000000001</v>
      </c>
      <c r="C119" s="1">
        <v>7.9752916666666698</v>
      </c>
      <c r="D119" s="1">
        <v>7.9787666666666697</v>
      </c>
      <c r="E119" s="1">
        <v>7.9918500000000003</v>
      </c>
      <c r="F119" s="1">
        <v>8.0259</v>
      </c>
      <c r="G119" s="1">
        <v>8.0335000000000001</v>
      </c>
      <c r="H119" s="1">
        <v>8.0334333333333294</v>
      </c>
      <c r="I119" s="1">
        <v>8.0212411666666696</v>
      </c>
      <c r="J119" s="1">
        <v>8.0221710833333297</v>
      </c>
      <c r="K119" s="1">
        <v>8.0110645833333294</v>
      </c>
      <c r="L119" s="1">
        <v>8.0014261666666702</v>
      </c>
      <c r="M119" s="1">
        <v>8.0358539166666692</v>
      </c>
      <c r="N119" s="1">
        <v>8.0201099166666694</v>
      </c>
      <c r="O119" s="1">
        <v>7.9842833333333303</v>
      </c>
      <c r="P119" s="1">
        <v>8.0022166666666692</v>
      </c>
      <c r="Q119" s="1">
        <v>8.0182083333333303</v>
      </c>
      <c r="R119" s="1">
        <v>7.9898635000000002</v>
      </c>
      <c r="S119" s="1">
        <v>7.9892553333333298</v>
      </c>
      <c r="T119" s="1">
        <v>7.9871290000000004</v>
      </c>
      <c r="U119" s="1">
        <v>7.9849604166666701</v>
      </c>
      <c r="V119" s="1">
        <v>7.9950642500000004</v>
      </c>
      <c r="W119" s="1">
        <v>8.0260010000000008</v>
      </c>
      <c r="X119" s="1">
        <v>8.0725074166666708</v>
      </c>
      <c r="Y119" s="1">
        <v>8.0704703333333292</v>
      </c>
      <c r="Z119" s="1">
        <v>7.9890619166666701</v>
      </c>
    </row>
    <row r="120" spans="1:26">
      <c r="A120" s="1" t="s">
        <v>1062</v>
      </c>
      <c r="B120" s="1">
        <v>812.25033333333295</v>
      </c>
      <c r="C120" s="1">
        <v>1018.17716666667</v>
      </c>
      <c r="D120" s="1">
        <v>1088.27966666667</v>
      </c>
      <c r="E120" s="1">
        <v>1256.7550000000001</v>
      </c>
      <c r="F120" s="1">
        <v>1353.49616666667</v>
      </c>
      <c r="G120" s="1">
        <v>1317.69883333333</v>
      </c>
      <c r="H120" s="1">
        <v>1366.39116666667</v>
      </c>
      <c r="I120" s="1">
        <v>1238.32766666667</v>
      </c>
      <c r="J120" s="1">
        <v>1868.8578333333301</v>
      </c>
      <c r="K120" s="1">
        <v>2003.02583333333</v>
      </c>
      <c r="L120" s="1">
        <v>2142.3016666666699</v>
      </c>
      <c r="M120" s="1">
        <v>1873.87666666667</v>
      </c>
      <c r="N120" s="1">
        <v>1708.37083333333</v>
      </c>
      <c r="O120" s="1">
        <v>1956.20583333333</v>
      </c>
      <c r="P120" s="1">
        <v>2089.9499999999998</v>
      </c>
      <c r="Q120" s="1">
        <v>2025.1175000000001</v>
      </c>
      <c r="R120" s="1">
        <v>2194.9666666666699</v>
      </c>
      <c r="S120" s="1">
        <v>2206.9141666666701</v>
      </c>
      <c r="T120" s="1">
        <v>2414.8116666666701</v>
      </c>
      <c r="U120" s="1">
        <v>2933.50833333333</v>
      </c>
      <c r="V120" s="1">
        <v>3176.5391666666701</v>
      </c>
      <c r="W120" s="1">
        <v>3116.11</v>
      </c>
      <c r="X120" s="1">
        <v>3334.75225490196</v>
      </c>
      <c r="Y120" s="1">
        <v>3618.3218581607198</v>
      </c>
      <c r="Z120" s="1">
        <v>3787.7540581757398</v>
      </c>
    </row>
    <row r="121" spans="1:26">
      <c r="A121" s="1" t="s">
        <v>1063</v>
      </c>
      <c r="B121" s="1">
        <v>15.3084666666667</v>
      </c>
      <c r="C121" s="1">
        <v>16.444175000000001</v>
      </c>
      <c r="D121" s="1">
        <v>31.072683333333298</v>
      </c>
      <c r="E121" s="1">
        <v>44.088141666666701</v>
      </c>
      <c r="F121" s="1">
        <v>59.543808333333303</v>
      </c>
      <c r="G121" s="1">
        <v>72.197333333333304</v>
      </c>
      <c r="H121" s="1">
        <v>76.686608333333297</v>
      </c>
      <c r="I121" s="1">
        <v>97.432474999999997</v>
      </c>
      <c r="J121" s="1">
        <v>108.89750833333299</v>
      </c>
      <c r="K121" s="1">
        <v>118.42</v>
      </c>
      <c r="L121" s="1">
        <v>136.01249999999999</v>
      </c>
      <c r="M121" s="1">
        <v>139.95750000000001</v>
      </c>
      <c r="N121" s="1">
        <v>140.52166666666699</v>
      </c>
      <c r="O121" s="1">
        <v>141.16833333333301</v>
      </c>
      <c r="P121" s="1">
        <v>150.48583333333301</v>
      </c>
      <c r="Q121" s="1">
        <v>156.51583333333301</v>
      </c>
      <c r="R121" s="1">
        <v>249.106666666667</v>
      </c>
      <c r="S121" s="1">
        <v>364.40583333333302</v>
      </c>
      <c r="T121" s="1">
        <v>424.89666666666699</v>
      </c>
      <c r="U121" s="1">
        <v>499.60583333333301</v>
      </c>
      <c r="V121" s="1">
        <v>718.005</v>
      </c>
      <c r="W121" s="1">
        <v>730.27250000000004</v>
      </c>
      <c r="X121" s="1">
        <v>732.33333333333303</v>
      </c>
      <c r="Y121" s="1">
        <v>745.54066787737202</v>
      </c>
      <c r="Z121" s="1">
        <v>749.52749388220104</v>
      </c>
    </row>
    <row r="122" spans="1:26">
      <c r="A122" s="1" t="s">
        <v>214</v>
      </c>
      <c r="B122" s="1">
        <v>2.5159425</v>
      </c>
      <c r="C122" s="1">
        <v>2.8131916666666701</v>
      </c>
      <c r="D122" s="1">
        <v>3.9243749999999999</v>
      </c>
      <c r="E122" s="1">
        <v>3.8</v>
      </c>
      <c r="F122" s="1">
        <v>3.8</v>
      </c>
      <c r="G122" s="1">
        <v>3.8</v>
      </c>
      <c r="H122" s="1">
        <v>3.8</v>
      </c>
      <c r="I122" s="1">
        <v>3.8</v>
      </c>
      <c r="J122" s="1">
        <v>3.8</v>
      </c>
      <c r="K122" s="1">
        <v>3.7870916666666701</v>
      </c>
      <c r="L122" s="1">
        <v>3.6681769583333299</v>
      </c>
      <c r="M122" s="1">
        <v>3.43756938226247</v>
      </c>
      <c r="N122" s="1">
        <v>3.3358333333333299</v>
      </c>
      <c r="O122" s="1">
        <v>3.5245029107064401</v>
      </c>
      <c r="P122" s="1">
        <v>3.22108691472175</v>
      </c>
      <c r="Q122" s="1">
        <v>3.06000301052058</v>
      </c>
      <c r="R122" s="1">
        <v>3.08880086662188</v>
      </c>
      <c r="S122" s="1">
        <v>3.1509085500972498</v>
      </c>
      <c r="T122" s="1">
        <v>3.2728597464304698</v>
      </c>
      <c r="U122" s="1">
        <v>3.9055002630276801</v>
      </c>
      <c r="V122" s="1">
        <v>4.14830066287879</v>
      </c>
      <c r="W122" s="1">
        <v>4.3004408776112397</v>
      </c>
      <c r="X122" s="1">
        <v>4.0351301370680597</v>
      </c>
      <c r="Y122" s="1">
        <v>4.1424697356973104</v>
      </c>
      <c r="Z122" s="1">
        <v>4.2034819485188404</v>
      </c>
    </row>
    <row r="123" spans="1:26">
      <c r="A123" s="1" t="s">
        <v>1124</v>
      </c>
      <c r="B123" s="1">
        <v>11.77</v>
      </c>
      <c r="C123" s="1">
        <v>11.77</v>
      </c>
      <c r="D123" s="1">
        <v>11.77</v>
      </c>
      <c r="E123" s="1">
        <v>11.77</v>
      </c>
      <c r="F123" s="1">
        <v>11.77</v>
      </c>
      <c r="G123" s="1">
        <v>12.2420833333333</v>
      </c>
      <c r="H123" s="1">
        <v>12.8</v>
      </c>
      <c r="I123" s="1">
        <v>12.8</v>
      </c>
      <c r="J123" s="1">
        <v>12.8</v>
      </c>
      <c r="K123" s="1">
        <v>12.8</v>
      </c>
      <c r="L123" s="1">
        <v>12.8</v>
      </c>
      <c r="M123" s="1">
        <v>12.8</v>
      </c>
      <c r="N123" s="1">
        <v>12.8</v>
      </c>
      <c r="O123" s="1">
        <v>12.8</v>
      </c>
      <c r="P123" s="1">
        <v>12.8</v>
      </c>
      <c r="Q123" s="1">
        <v>14.6020084036964</v>
      </c>
      <c r="R123" s="1">
        <v>15.364835316359599</v>
      </c>
      <c r="S123" s="1">
        <v>15.3667100302841</v>
      </c>
      <c r="T123" s="1">
        <v>15.380393518089299</v>
      </c>
      <c r="U123" s="1">
        <v>15.3663312211982</v>
      </c>
      <c r="V123" s="1">
        <v>15.3684076818158</v>
      </c>
      <c r="W123" s="1">
        <v>15.386968509984699</v>
      </c>
      <c r="X123" s="1">
        <v>15.390837269585299</v>
      </c>
      <c r="Y123" s="1">
        <v>15.382041922683101</v>
      </c>
      <c r="Z123" s="1">
        <v>15.381269527870501</v>
      </c>
    </row>
    <row r="124" spans="1:26">
      <c r="A124" s="1" t="s">
        <v>1066</v>
      </c>
      <c r="B124" s="1">
        <v>511.55243027251601</v>
      </c>
      <c r="C124" s="1">
        <v>583.66937235339606</v>
      </c>
      <c r="D124" s="1">
        <v>589.951774567332</v>
      </c>
      <c r="E124" s="1">
        <v>615.47334931916396</v>
      </c>
      <c r="F124" s="1">
        <v>710.20797703136702</v>
      </c>
      <c r="G124" s="1">
        <v>732.39769326022804</v>
      </c>
      <c r="H124" s="1">
        <v>693.71322649637398</v>
      </c>
      <c r="I124" s="1">
        <v>579.897426172466</v>
      </c>
      <c r="J124" s="1">
        <v>527.33803229157604</v>
      </c>
      <c r="K124" s="1">
        <v>527.25836264962595</v>
      </c>
      <c r="L124" s="1">
        <v>522.42562489517604</v>
      </c>
      <c r="M124" s="1">
        <v>478.63371847636301</v>
      </c>
      <c r="N124" s="1">
        <v>446.00004143278801</v>
      </c>
      <c r="O124" s="1">
        <v>470.29342334139801</v>
      </c>
      <c r="P124" s="1">
        <v>494.794262222947</v>
      </c>
      <c r="Q124" s="1">
        <v>471.24862571893698</v>
      </c>
      <c r="R124" s="1">
        <v>510.55633845425098</v>
      </c>
      <c r="S124" s="1">
        <v>493.89962385223703</v>
      </c>
      <c r="T124" s="1">
        <v>493.757329875312</v>
      </c>
      <c r="U124" s="1">
        <v>591.21169798260996</v>
      </c>
      <c r="V124" s="1">
        <v>592.60561506302201</v>
      </c>
      <c r="W124" s="1">
        <v>580.65674958785803</v>
      </c>
      <c r="X124" s="1">
        <v>555.44645839822601</v>
      </c>
      <c r="Y124" s="1">
        <v>585.91101318036897</v>
      </c>
      <c r="Z124" s="1">
        <v>575.58600451094503</v>
      </c>
    </row>
    <row r="125" spans="1:26">
      <c r="A125" s="1" t="s">
        <v>1125</v>
      </c>
      <c r="B125" s="1">
        <v>0.36045586833333298</v>
      </c>
      <c r="C125" s="1">
        <v>0.38596612499999999</v>
      </c>
      <c r="D125" s="1">
        <v>0.38845951083333302</v>
      </c>
      <c r="E125" s="1">
        <v>0.39889839500000002</v>
      </c>
      <c r="F125" s="1">
        <v>0.43814999166666702</v>
      </c>
      <c r="G125" s="1">
        <v>0.450041566666667</v>
      </c>
      <c r="H125" s="1">
        <v>0.43362033825000001</v>
      </c>
      <c r="I125" s="1">
        <v>0.37723333333333298</v>
      </c>
      <c r="J125" s="1">
        <v>0.34466317998548601</v>
      </c>
      <c r="K125" s="1">
        <v>0.34577739224999998</v>
      </c>
      <c r="L125" s="1">
        <v>0.340893885583333</v>
      </c>
      <c r="M125" s="1">
        <v>0.31167499999999998</v>
      </c>
      <c r="N125" s="1" t="s">
        <v>1210</v>
      </c>
      <c r="O125" s="1" t="s">
        <v>1210</v>
      </c>
      <c r="P125" s="1" t="s">
        <v>1210</v>
      </c>
      <c r="Q125" s="1" t="s">
        <v>1210</v>
      </c>
      <c r="R125" s="1" t="s">
        <v>1210</v>
      </c>
      <c r="S125" s="1" t="s">
        <v>1210</v>
      </c>
      <c r="T125" s="1" t="s">
        <v>1210</v>
      </c>
      <c r="U125" s="1" t="s">
        <v>1210</v>
      </c>
      <c r="V125" s="1" t="s">
        <v>1210</v>
      </c>
      <c r="W125" s="1" t="s">
        <v>1210</v>
      </c>
      <c r="X125" s="1" t="s">
        <v>1210</v>
      </c>
      <c r="Y125" s="1" t="s">
        <v>1210</v>
      </c>
      <c r="Z125" s="1" t="s">
        <v>1210</v>
      </c>
    </row>
    <row r="126" spans="1:26">
      <c r="A126" s="1" t="s">
        <v>1126</v>
      </c>
      <c r="B126" s="1" t="s">
        <v>1210</v>
      </c>
      <c r="C126" s="1" t="s">
        <v>1210</v>
      </c>
      <c r="D126" s="1" t="s">
        <v>1210</v>
      </c>
      <c r="E126" s="1" t="s">
        <v>1210</v>
      </c>
      <c r="F126" s="1" t="s">
        <v>1210</v>
      </c>
      <c r="G126" s="1" t="s">
        <v>1210</v>
      </c>
      <c r="H126" s="1" t="s">
        <v>1210</v>
      </c>
      <c r="I126" s="1" t="s">
        <v>1210</v>
      </c>
      <c r="J126" s="1" t="s">
        <v>1210</v>
      </c>
      <c r="K126" s="1" t="s">
        <v>1210</v>
      </c>
      <c r="L126" s="1" t="s">
        <v>1210</v>
      </c>
      <c r="M126" s="1" t="s">
        <v>1210</v>
      </c>
      <c r="N126" s="1" t="s">
        <v>1210</v>
      </c>
      <c r="O126" s="1" t="s">
        <v>1210</v>
      </c>
      <c r="P126" s="1" t="s">
        <v>1210</v>
      </c>
      <c r="Q126" s="1" t="s">
        <v>1210</v>
      </c>
      <c r="R126" s="1" t="s">
        <v>1210</v>
      </c>
      <c r="S126" s="1" t="s">
        <v>1210</v>
      </c>
      <c r="T126" s="1" t="s">
        <v>1210</v>
      </c>
      <c r="U126" s="1" t="s">
        <v>1210</v>
      </c>
      <c r="V126" s="1" t="s">
        <v>1210</v>
      </c>
      <c r="W126" s="1" t="s">
        <v>1210</v>
      </c>
      <c r="X126" s="1" t="s">
        <v>1210</v>
      </c>
      <c r="Y126" s="1" t="s">
        <v>1210</v>
      </c>
      <c r="Z126" s="1" t="s">
        <v>1210</v>
      </c>
    </row>
    <row r="127" spans="1:26">
      <c r="A127" s="1" t="s">
        <v>1068</v>
      </c>
      <c r="B127" s="1">
        <v>13.7221666666667</v>
      </c>
      <c r="C127" s="1">
        <v>15.1853333333333</v>
      </c>
      <c r="D127" s="1">
        <v>18.847583333333301</v>
      </c>
      <c r="E127" s="1">
        <v>20.951416666666699</v>
      </c>
      <c r="F127" s="1">
        <v>23.892333333333301</v>
      </c>
      <c r="G127" s="1">
        <v>25.562916666666698</v>
      </c>
      <c r="H127" s="1">
        <v>27.173916666666699</v>
      </c>
      <c r="I127" s="1">
        <v>26.303000000000001</v>
      </c>
      <c r="J127" s="1" t="s">
        <v>1210</v>
      </c>
      <c r="K127" s="1">
        <v>26.5528333333333</v>
      </c>
      <c r="L127" s="1">
        <v>26.86</v>
      </c>
      <c r="M127" s="1">
        <v>25.8586666666667</v>
      </c>
      <c r="N127" s="1">
        <v>23.820333333333298</v>
      </c>
      <c r="O127" s="1">
        <v>26.2365833333333</v>
      </c>
      <c r="P127" s="1">
        <v>27.5894166666667</v>
      </c>
      <c r="Q127" s="1">
        <v>28.111833333333301</v>
      </c>
      <c r="R127" s="1">
        <v>29.661999999999999</v>
      </c>
      <c r="S127" s="1">
        <v>30.068166666666698</v>
      </c>
      <c r="T127" s="1">
        <v>30.272500000000001</v>
      </c>
      <c r="U127" s="1">
        <v>32.467166666666699</v>
      </c>
      <c r="V127" s="1">
        <v>35.237083333333302</v>
      </c>
      <c r="W127" s="1">
        <v>35.794416666666699</v>
      </c>
      <c r="X127" s="1">
        <v>35.677500000000002</v>
      </c>
      <c r="Y127" s="1">
        <v>36.690833333333302</v>
      </c>
      <c r="Z127" s="1">
        <v>37.189166666666701</v>
      </c>
    </row>
    <row r="128" spans="1:26">
      <c r="A128" s="1" t="s">
        <v>1069</v>
      </c>
      <c r="B128" s="1">
        <v>17.948066666666701</v>
      </c>
      <c r="C128" s="1">
        <v>21.057258333333301</v>
      </c>
      <c r="D128" s="1">
        <v>23.992650000000001</v>
      </c>
      <c r="E128" s="1">
        <v>25.185808333333298</v>
      </c>
      <c r="F128" s="1">
        <v>26.249558333333301</v>
      </c>
      <c r="G128" s="1">
        <v>29.129258333333301</v>
      </c>
      <c r="H128" s="1">
        <v>29.962</v>
      </c>
      <c r="I128" s="1">
        <v>27.901475000000001</v>
      </c>
      <c r="J128" s="1">
        <v>27.498516666666699</v>
      </c>
      <c r="K128" s="1">
        <v>29.496233333333301</v>
      </c>
      <c r="L128" s="1">
        <v>31.708066666666699</v>
      </c>
      <c r="M128" s="1">
        <v>31.313656250000001</v>
      </c>
      <c r="N128" s="1">
        <v>28.452837500000001</v>
      </c>
      <c r="O128" s="1">
        <v>31.959800000000001</v>
      </c>
      <c r="P128" s="1">
        <v>30.784400000000002</v>
      </c>
      <c r="Q128" s="1">
        <v>28.705950000000001</v>
      </c>
      <c r="R128" s="1">
        <v>30.0499716666667</v>
      </c>
      <c r="S128" s="1">
        <v>30.7013583333333</v>
      </c>
      <c r="T128" s="1">
        <v>30.6216166666667</v>
      </c>
      <c r="U128" s="1">
        <v>35.056699999999999</v>
      </c>
      <c r="V128" s="1">
        <v>35.541883333333303</v>
      </c>
      <c r="W128" s="1">
        <v>34.481408333333299</v>
      </c>
      <c r="X128" s="1">
        <v>33.934449999999998</v>
      </c>
      <c r="Y128" s="1">
        <v>35.473516666666697</v>
      </c>
      <c r="Z128" s="1">
        <v>39.346933333333297</v>
      </c>
    </row>
    <row r="129" spans="1:26">
      <c r="A129" s="1" t="s">
        <v>537</v>
      </c>
      <c r="B129" s="1">
        <v>7.5994484166666698</v>
      </c>
      <c r="C129" s="1">
        <v>7.9184599999999996</v>
      </c>
      <c r="D129" s="1">
        <v>9.1360417500000004</v>
      </c>
      <c r="E129" s="1">
        <v>9.5603975000000005</v>
      </c>
      <c r="F129" s="1">
        <v>9.4555583333333306</v>
      </c>
      <c r="G129" s="1">
        <v>9.3423416666666697</v>
      </c>
      <c r="H129" s="1">
        <v>9.6559583333333308</v>
      </c>
      <c r="I129" s="1">
        <v>10.7890191666667</v>
      </c>
      <c r="J129" s="1">
        <v>11.285966666666701</v>
      </c>
      <c r="K129" s="1">
        <v>10.8978916666667</v>
      </c>
      <c r="L129" s="1">
        <v>10.8992416666667</v>
      </c>
      <c r="M129" s="1">
        <v>10.9281916666667</v>
      </c>
      <c r="N129" s="1">
        <v>11.129716666666701</v>
      </c>
      <c r="O129" s="1">
        <v>13.513475</v>
      </c>
      <c r="P129" s="1">
        <v>12.636008333333301</v>
      </c>
      <c r="Q129" s="1">
        <v>12.423325</v>
      </c>
      <c r="R129" s="1">
        <v>13.169458333333299</v>
      </c>
      <c r="S129" s="1">
        <v>12.7719916666667</v>
      </c>
      <c r="T129" s="1">
        <v>13.292450000000001</v>
      </c>
      <c r="U129" s="1">
        <v>15.848266666666699</v>
      </c>
      <c r="V129" s="1">
        <v>18.664058333333301</v>
      </c>
      <c r="W129" s="1">
        <v>18.9265166666667</v>
      </c>
      <c r="X129" s="1">
        <v>19.244341666666699</v>
      </c>
      <c r="Y129" s="1">
        <v>19.263633333333299</v>
      </c>
      <c r="Z129" s="1">
        <v>21.4856083333333</v>
      </c>
    </row>
    <row r="130" spans="1:26">
      <c r="A130" s="1" t="s">
        <v>1127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</row>
    <row r="131" spans="1:26">
      <c r="A131" s="1" t="s">
        <v>1070</v>
      </c>
      <c r="B131" s="1">
        <v>4.6044833333333299</v>
      </c>
      <c r="C131" s="1">
        <v>4.6235833333333298</v>
      </c>
      <c r="D131" s="1">
        <v>5.3707000000000003</v>
      </c>
      <c r="E131" s="1">
        <v>10.5158083333333</v>
      </c>
      <c r="F131" s="1">
        <v>12.4342166666667</v>
      </c>
      <c r="G131" s="1">
        <v>12.8651416666667</v>
      </c>
      <c r="H131" s="1">
        <v>13.5704975</v>
      </c>
      <c r="I131" s="1">
        <v>13.9448833333333</v>
      </c>
      <c r="J131" s="1">
        <v>12.3297166666667</v>
      </c>
      <c r="K131" s="1">
        <v>12.599625</v>
      </c>
      <c r="L131" s="1">
        <v>13.1310583333333</v>
      </c>
      <c r="M131" s="1">
        <v>12.1399449731183</v>
      </c>
      <c r="N131" s="1">
        <v>10.3920436827957</v>
      </c>
      <c r="O131" s="1">
        <v>11.1095754339478</v>
      </c>
      <c r="P131" s="1">
        <v>12.369260961341499</v>
      </c>
      <c r="Q131" s="1">
        <v>11.7386124865591</v>
      </c>
      <c r="R131" s="1">
        <v>12.1114368159066</v>
      </c>
      <c r="S131" s="1">
        <v>12.5867562314388</v>
      </c>
      <c r="T131" s="1">
        <v>14.035630049923199</v>
      </c>
      <c r="U131" s="1">
        <v>18.818475145289302</v>
      </c>
      <c r="V131" s="1">
        <v>19.923827563342002</v>
      </c>
      <c r="W131" s="1">
        <v>18.499034887352799</v>
      </c>
      <c r="X131" s="1">
        <v>16.8020517223502</v>
      </c>
      <c r="Y131" s="1">
        <v>17.573468866487499</v>
      </c>
      <c r="Z131" s="1">
        <v>17.321835209183099</v>
      </c>
    </row>
    <row r="132" spans="1:26">
      <c r="A132" s="1" t="s">
        <v>1187</v>
      </c>
      <c r="B132" s="1" t="s">
        <v>1210</v>
      </c>
      <c r="C132" s="1" t="s">
        <v>1210</v>
      </c>
      <c r="D132" s="1" t="s">
        <v>1210</v>
      </c>
      <c r="E132" s="1" t="s">
        <v>1210</v>
      </c>
      <c r="F132" s="1" t="s">
        <v>1210</v>
      </c>
      <c r="G132" s="1" t="s">
        <v>1210</v>
      </c>
      <c r="H132" s="1" t="s">
        <v>1210</v>
      </c>
      <c r="I132" s="1" t="s">
        <v>1210</v>
      </c>
      <c r="J132" s="1" t="s">
        <v>1210</v>
      </c>
      <c r="K132" s="1" t="s">
        <v>1210</v>
      </c>
      <c r="L132" s="1" t="s">
        <v>1210</v>
      </c>
      <c r="M132" s="1" t="s">
        <v>1210</v>
      </c>
      <c r="N132" s="1" t="s">
        <v>1210</v>
      </c>
      <c r="O132" s="1" t="s">
        <v>1210</v>
      </c>
      <c r="P132" s="1" t="s">
        <v>1210</v>
      </c>
      <c r="Q132" s="1" t="s">
        <v>1210</v>
      </c>
      <c r="R132" s="1" t="s">
        <v>1210</v>
      </c>
      <c r="S132" s="1" t="s">
        <v>1210</v>
      </c>
      <c r="T132" s="1" t="s">
        <v>1210</v>
      </c>
      <c r="U132" s="1" t="s">
        <v>1210</v>
      </c>
      <c r="V132" s="1" t="s">
        <v>1210</v>
      </c>
      <c r="W132" s="1" t="s">
        <v>1210</v>
      </c>
      <c r="X132" s="1" t="s">
        <v>1210</v>
      </c>
      <c r="Y132" s="1" t="s">
        <v>1210</v>
      </c>
      <c r="Z132" s="1" t="s">
        <v>1210</v>
      </c>
    </row>
    <row r="133" spans="1:26">
      <c r="A133" s="1" t="s">
        <v>307</v>
      </c>
      <c r="B133" s="1">
        <v>548.40333333333297</v>
      </c>
      <c r="C133" s="1">
        <v>789.99249999999995</v>
      </c>
      <c r="D133" s="1">
        <v>840.82833333333303</v>
      </c>
      <c r="E133" s="1">
        <v>1021.8674999999999</v>
      </c>
      <c r="F133" s="1">
        <v>1076.6666666666699</v>
      </c>
      <c r="G133" s="1">
        <v>1097.6975</v>
      </c>
      <c r="H133" s="1">
        <v>1110.31</v>
      </c>
      <c r="I133" s="1">
        <v>1146.5425</v>
      </c>
      <c r="J133" s="1">
        <v>1185.2974999999999</v>
      </c>
      <c r="K133" s="1">
        <v>1205.2466666666701</v>
      </c>
      <c r="L133" s="1">
        <v>1179.69916666667</v>
      </c>
      <c r="M133" s="1">
        <v>1170.40083333333</v>
      </c>
      <c r="N133" s="1">
        <v>1165.80416666667</v>
      </c>
      <c r="O133" s="1">
        <v>1437.7950000000001</v>
      </c>
      <c r="P133" s="1">
        <v>1357.06416666667</v>
      </c>
      <c r="Q133" s="1">
        <v>1265.51583333333</v>
      </c>
      <c r="R133" s="1">
        <v>1357.58</v>
      </c>
      <c r="S133" s="1">
        <v>1523.9275</v>
      </c>
      <c r="T133" s="1">
        <v>1817.9387083333299</v>
      </c>
      <c r="U133" s="1">
        <v>1970.3091666666701</v>
      </c>
      <c r="V133" s="1">
        <v>2140.2908640611599</v>
      </c>
      <c r="W133" s="1">
        <v>2439.7772011124398</v>
      </c>
      <c r="X133" s="1">
        <v>2472.4840511423499</v>
      </c>
      <c r="Y133" s="1">
        <v>2663.5413982016298</v>
      </c>
      <c r="Z133" s="1">
        <v>2813.2898353264</v>
      </c>
    </row>
    <row r="134" spans="1:26">
      <c r="A134" s="1" t="s">
        <v>1128</v>
      </c>
      <c r="B134" s="1" t="s">
        <v>1210</v>
      </c>
      <c r="C134" s="1" t="s">
        <v>1210</v>
      </c>
      <c r="D134" s="1" t="s">
        <v>1210</v>
      </c>
      <c r="E134" s="1">
        <v>0.938283072395239</v>
      </c>
      <c r="F134" s="1">
        <v>1.08270508132601</v>
      </c>
      <c r="G134" s="1">
        <v>1.11653308564468</v>
      </c>
      <c r="H134" s="1">
        <v>1.0575589962396501</v>
      </c>
      <c r="I134" s="1">
        <v>0.88404792718496095</v>
      </c>
      <c r="J134" s="1">
        <v>0.80392164774760499</v>
      </c>
      <c r="K134" s="1">
        <v>0.80380019216141596</v>
      </c>
      <c r="L134" s="1">
        <v>0.79643273094909595</v>
      </c>
      <c r="M134" s="1">
        <v>0.72967239998408795</v>
      </c>
      <c r="N134" s="1">
        <v>0.67992268004272904</v>
      </c>
      <c r="O134" s="1">
        <v>0.71695770201613596</v>
      </c>
      <c r="P134" s="1">
        <v>0.75430899010597896</v>
      </c>
      <c r="Q134" s="1">
        <v>0.71841389865332195</v>
      </c>
      <c r="R134" s="1">
        <v>0.77833812041681205</v>
      </c>
      <c r="S134" s="1">
        <v>0.75294512270200198</v>
      </c>
      <c r="T134" s="1">
        <v>0.75272819693259096</v>
      </c>
      <c r="U134" s="1">
        <v>0.90129642336709603</v>
      </c>
      <c r="V134" s="1">
        <v>0.90342143625728799</v>
      </c>
      <c r="W134" s="1">
        <v>0.88520550826938005</v>
      </c>
      <c r="X134" s="1">
        <v>0.84677266710809596</v>
      </c>
      <c r="Y134" s="1">
        <v>0.89321558147922597</v>
      </c>
      <c r="Z134" s="1">
        <v>0.87747520723301198</v>
      </c>
    </row>
    <row r="135" spans="1:26">
      <c r="A135" s="1" t="s">
        <v>1072</v>
      </c>
      <c r="B135" s="1">
        <v>8.7158758333333299</v>
      </c>
      <c r="C135" s="1">
        <v>9.5271066666666702</v>
      </c>
      <c r="D135" s="1">
        <v>9.6044158333333307</v>
      </c>
      <c r="E135" s="1">
        <v>9.8044191666666691</v>
      </c>
      <c r="F135" s="1">
        <v>10.6256361666667</v>
      </c>
      <c r="G135" s="1">
        <v>11.302975</v>
      </c>
      <c r="H135" s="1">
        <v>11.020583333333301</v>
      </c>
      <c r="I135" s="1">
        <v>9.5743833333333299</v>
      </c>
      <c r="J135" s="1">
        <v>8.8680166666666693</v>
      </c>
      <c r="K135" s="1">
        <v>8.8650083333333303</v>
      </c>
      <c r="L135" s="1">
        <v>8.7955833333333295</v>
      </c>
      <c r="M135" s="1">
        <v>8.1923333333333304</v>
      </c>
      <c r="N135" s="1">
        <v>7.7503250000000001</v>
      </c>
      <c r="O135" s="1">
        <v>8.0571000000000002</v>
      </c>
      <c r="P135" s="1">
        <v>8.4171583333333295</v>
      </c>
      <c r="Q135" s="1">
        <v>8.0898749999999993</v>
      </c>
      <c r="R135" s="1">
        <v>8.6284445833333301</v>
      </c>
      <c r="S135" s="1">
        <v>8.4055039167442995</v>
      </c>
      <c r="T135" s="1">
        <v>8.4063366882615203</v>
      </c>
      <c r="U135" s="1">
        <v>9.7643482795011103</v>
      </c>
      <c r="V135" s="1">
        <v>9.8074760315024996</v>
      </c>
      <c r="W135" s="1">
        <v>9.6919978888288991</v>
      </c>
      <c r="X135" s="1">
        <v>9.3861024209197197</v>
      </c>
      <c r="Y135" s="1">
        <v>9.6170760995074396</v>
      </c>
      <c r="Z135" s="1">
        <v>9.4968473222196899</v>
      </c>
    </row>
    <row r="136" spans="1:26">
      <c r="A136" s="1" t="s">
        <v>1074</v>
      </c>
      <c r="B136" s="1">
        <v>11.293749999999999</v>
      </c>
      <c r="C136" s="1">
        <v>11.5435833333333</v>
      </c>
      <c r="D136" s="1">
        <v>11.8745833333333</v>
      </c>
      <c r="E136" s="1">
        <v>12.7751116666667</v>
      </c>
      <c r="F136" s="1">
        <v>15.22725</v>
      </c>
      <c r="G136" s="1">
        <v>20.703640833333299</v>
      </c>
      <c r="H136" s="1">
        <v>23.677956666666699</v>
      </c>
      <c r="I136" s="1">
        <v>23.7822675</v>
      </c>
      <c r="J136" s="1">
        <v>22.581342500000002</v>
      </c>
      <c r="K136" s="1">
        <v>23.060964999999999</v>
      </c>
      <c r="L136" s="1">
        <v>25.400779166666702</v>
      </c>
      <c r="M136" s="1">
        <v>25.840341450216499</v>
      </c>
      <c r="N136" s="1">
        <v>24.300642472865299</v>
      </c>
      <c r="O136" s="1">
        <v>27.518299963924999</v>
      </c>
      <c r="P136" s="1">
        <v>33.960098800690801</v>
      </c>
      <c r="Q136" s="1">
        <v>29.067599931977501</v>
      </c>
      <c r="R136" s="1">
        <v>28.3729844798921</v>
      </c>
      <c r="S136" s="1">
        <v>30.1041110929498</v>
      </c>
      <c r="T136" s="1">
        <v>31.352687700944301</v>
      </c>
      <c r="U136" s="1">
        <v>39.982474146540603</v>
      </c>
      <c r="V136" s="1">
        <v>63.056232731037099</v>
      </c>
      <c r="W136" s="1">
        <v>63.584322913398999</v>
      </c>
      <c r="X136" s="1">
        <v>60.326207643202203</v>
      </c>
      <c r="Y136" s="1">
        <v>62.548333333333296</v>
      </c>
      <c r="Z136" s="1">
        <v>69.465000000000003</v>
      </c>
    </row>
    <row r="137" spans="1:26">
      <c r="A137" s="1" t="s">
        <v>1190</v>
      </c>
      <c r="B137" s="1">
        <v>5.9175666666666702</v>
      </c>
      <c r="C137" s="1">
        <v>6.2418333333333296</v>
      </c>
      <c r="D137" s="1">
        <v>6.3431583333333297</v>
      </c>
      <c r="E137" s="1">
        <v>6.28579166666667</v>
      </c>
      <c r="F137" s="1">
        <v>6.5167250000000001</v>
      </c>
      <c r="G137" s="1">
        <v>6.74890833333333</v>
      </c>
      <c r="H137" s="1">
        <v>6.6420833333333302</v>
      </c>
      <c r="I137" s="1">
        <v>6.1389250000000004</v>
      </c>
      <c r="J137" s="1">
        <v>5.8058333333333296</v>
      </c>
      <c r="K137" s="1">
        <v>5.81816666666667</v>
      </c>
      <c r="L137" s="1">
        <v>5.84294166666667</v>
      </c>
      <c r="M137" s="1">
        <v>5.6168833333333303</v>
      </c>
      <c r="N137" s="1">
        <v>5.4414499999999997</v>
      </c>
      <c r="O137" s="1">
        <v>5.5763666666666696</v>
      </c>
      <c r="P137" s="1">
        <v>5.6348833333333301</v>
      </c>
      <c r="Q137" s="1">
        <v>5.4441083333333298</v>
      </c>
      <c r="R137" s="1">
        <v>640.653416666667</v>
      </c>
      <c r="S137" s="1">
        <v>933.57045635687905</v>
      </c>
      <c r="T137" s="1">
        <v>984.34574756004599</v>
      </c>
      <c r="U137" s="1">
        <v>1162.6153286255401</v>
      </c>
      <c r="V137" s="1">
        <v>1234.8695166666701</v>
      </c>
      <c r="W137" s="1">
        <v>1360.35870704085</v>
      </c>
      <c r="X137" s="1">
        <v>1429.8079752010699</v>
      </c>
      <c r="Y137" s="1">
        <v>1518.2551166666699</v>
      </c>
      <c r="Z137" s="1">
        <v>1381.61916666667</v>
      </c>
    </row>
    <row r="138" spans="1:26">
      <c r="A138" s="1" t="s">
        <v>1076</v>
      </c>
      <c r="B138" s="1">
        <v>4.2993491666666701</v>
      </c>
      <c r="C138" s="1">
        <v>4.6079616666666698</v>
      </c>
      <c r="D138" s="1">
        <v>5.52828416666667</v>
      </c>
      <c r="E138" s="1">
        <v>6.1094841666666699</v>
      </c>
      <c r="F138" s="1">
        <v>6.9398283333333302</v>
      </c>
      <c r="G138" s="1">
        <v>8.6091808333333297</v>
      </c>
      <c r="H138" s="1">
        <v>10.540746666666699</v>
      </c>
      <c r="I138" s="1">
        <v>7.5647491666666697</v>
      </c>
      <c r="J138" s="1">
        <v>6.4596925000000001</v>
      </c>
      <c r="K138" s="1">
        <v>6.3771166666666703</v>
      </c>
      <c r="L138" s="1">
        <v>6.76715</v>
      </c>
      <c r="M138" s="1">
        <v>7.0543916666666702</v>
      </c>
      <c r="N138" s="1">
        <v>8.2517416666666694</v>
      </c>
      <c r="O138" s="1">
        <v>8.5228198333333296</v>
      </c>
      <c r="P138" s="1">
        <v>7.3302500000000004</v>
      </c>
      <c r="Q138" s="1">
        <v>7.3000249999999998</v>
      </c>
      <c r="R138" s="1">
        <v>8.1937708333333301</v>
      </c>
      <c r="S138" s="1">
        <v>9.7500750000000007</v>
      </c>
      <c r="T138" s="1">
        <v>10.8428875</v>
      </c>
      <c r="U138" s="1">
        <v>12.8819208333333</v>
      </c>
      <c r="V138" s="1">
        <v>14.708766666666699</v>
      </c>
      <c r="W138" s="1">
        <v>13.312900000000001</v>
      </c>
      <c r="X138" s="1">
        <v>13.2339416666667</v>
      </c>
      <c r="Y138" s="1">
        <v>14.4486904166667</v>
      </c>
      <c r="Z138" s="1">
        <v>16.463266666666701</v>
      </c>
    </row>
    <row r="139" spans="1:26">
      <c r="A139" s="1" t="s">
        <v>1194</v>
      </c>
      <c r="B139" s="1">
        <v>1.27786333333333</v>
      </c>
      <c r="C139" s="1">
        <v>1.34738</v>
      </c>
      <c r="D139" s="1">
        <v>1.5918283333333301</v>
      </c>
      <c r="E139" s="1">
        <v>1.5499499999999999</v>
      </c>
      <c r="F139" s="1">
        <v>1.7248266666666701</v>
      </c>
      <c r="G139" s="1">
        <v>1.9334425</v>
      </c>
      <c r="H139" s="1">
        <v>1.8405625000000001</v>
      </c>
      <c r="I139" s="1">
        <v>1.54191416666667</v>
      </c>
      <c r="J139" s="1">
        <v>1.3597524999999999</v>
      </c>
      <c r="K139" s="1">
        <v>1.3094733333333299</v>
      </c>
      <c r="L139" s="1">
        <v>1.3279734405000001</v>
      </c>
      <c r="M139" s="1">
        <v>1.1950725</v>
      </c>
      <c r="N139" s="1">
        <v>1.19217833333333</v>
      </c>
      <c r="O139" s="1">
        <v>1.28218881008452</v>
      </c>
      <c r="P139" s="1">
        <v>1.0901594863867701</v>
      </c>
      <c r="Q139" s="1">
        <v>0.96946320149673504</v>
      </c>
      <c r="R139" s="1">
        <v>0.96580103065870804</v>
      </c>
      <c r="S139" s="1">
        <v>1.0358430965205401</v>
      </c>
      <c r="T139" s="1">
        <v>1.1093632928169199</v>
      </c>
      <c r="U139" s="1">
        <v>1.33109026245502</v>
      </c>
      <c r="V139" s="1">
        <v>1.3452139760194699</v>
      </c>
      <c r="W139" s="1">
        <v>1.3047580767159199</v>
      </c>
      <c r="X139" s="1">
        <v>1.33841214646451</v>
      </c>
      <c r="Y139" s="1">
        <v>1.4385065442138201</v>
      </c>
      <c r="Z139" s="1">
        <v>1.4530851184701601</v>
      </c>
    </row>
    <row r="140" spans="1:26">
      <c r="A140" s="1" t="s">
        <v>1077</v>
      </c>
      <c r="B140" s="1">
        <v>56.691952499999999</v>
      </c>
      <c r="C140" s="1">
        <v>58.009549166666702</v>
      </c>
      <c r="D140" s="1">
        <v>65.975787499999996</v>
      </c>
      <c r="E140" s="1">
        <v>68.239370833333297</v>
      </c>
      <c r="F140" s="1">
        <v>71.093795833333303</v>
      </c>
      <c r="G140" s="1">
        <v>74.949250000000006</v>
      </c>
      <c r="H140" s="1">
        <v>77.8766191666667</v>
      </c>
      <c r="I140" s="1">
        <v>76.141447499999998</v>
      </c>
      <c r="J140" s="1">
        <v>73.673596666666697</v>
      </c>
      <c r="K140" s="1">
        <v>71.367500000000007</v>
      </c>
      <c r="L140" s="1">
        <v>72.755605833333306</v>
      </c>
      <c r="M140" s="1">
        <v>66.415027499999994</v>
      </c>
      <c r="N140" s="1">
        <v>69.761695000000003</v>
      </c>
      <c r="O140" s="1">
        <v>77.573430739015606</v>
      </c>
      <c r="P140" s="1">
        <v>73.262359015804606</v>
      </c>
      <c r="Q140" s="1">
        <v>74.02</v>
      </c>
      <c r="R140" s="1">
        <v>85.225755992383498</v>
      </c>
      <c r="S140" s="1">
        <v>93.084393807548494</v>
      </c>
      <c r="T140" s="1">
        <v>97.554842156794606</v>
      </c>
      <c r="U140" s="1">
        <v>102.405134331356</v>
      </c>
      <c r="V140" s="1">
        <v>107.383815174654</v>
      </c>
      <c r="W140" s="1">
        <v>104.511885242863</v>
      </c>
      <c r="X140" s="1">
        <v>108.930134109273</v>
      </c>
      <c r="Y140" s="1">
        <v>112.609482758621</v>
      </c>
      <c r="Z140" s="1">
        <v>118.34518727598601</v>
      </c>
    </row>
    <row r="141" spans="1:26">
      <c r="A141" s="1" t="s">
        <v>1129</v>
      </c>
      <c r="B141" s="1">
        <v>1.6858967499999999</v>
      </c>
      <c r="C141" s="1">
        <v>1.95126991666667</v>
      </c>
      <c r="D141" s="1">
        <v>1.983733</v>
      </c>
      <c r="E141" s="1" t="s">
        <v>1210</v>
      </c>
      <c r="F141" s="1" t="s">
        <v>1210</v>
      </c>
      <c r="G141" s="1" t="s">
        <v>1210</v>
      </c>
      <c r="H141" s="1" t="s">
        <v>1210</v>
      </c>
      <c r="I141" s="1" t="s">
        <v>1210</v>
      </c>
      <c r="J141" s="1" t="s">
        <v>1210</v>
      </c>
      <c r="K141" s="1" t="s">
        <v>1210</v>
      </c>
      <c r="L141" s="1" t="s">
        <v>1210</v>
      </c>
      <c r="M141" s="1" t="s">
        <v>1210</v>
      </c>
      <c r="N141" s="1" t="s">
        <v>1210</v>
      </c>
      <c r="O141" s="1" t="s">
        <v>1210</v>
      </c>
      <c r="P141" s="1" t="s">
        <v>1210</v>
      </c>
      <c r="Q141" s="1" t="s">
        <v>1210</v>
      </c>
      <c r="R141" s="1" t="s">
        <v>1210</v>
      </c>
      <c r="S141" s="1" t="s">
        <v>1210</v>
      </c>
      <c r="T141" s="1" t="s">
        <v>1210</v>
      </c>
      <c r="U141" s="1" t="s">
        <v>1210</v>
      </c>
      <c r="V141" s="1" t="s">
        <v>1210</v>
      </c>
      <c r="W141" s="1" t="s">
        <v>1210</v>
      </c>
      <c r="X141" s="1" t="s">
        <v>1210</v>
      </c>
      <c r="Y141" s="1" t="s">
        <v>1210</v>
      </c>
      <c r="Z141" s="1" t="s">
        <v>1210</v>
      </c>
    </row>
    <row r="142" spans="1:26">
      <c r="A142" s="1" t="s">
        <v>1193</v>
      </c>
      <c r="B142" s="1">
        <v>93.009406990499997</v>
      </c>
      <c r="C142" s="1">
        <v>106.12156054499999</v>
      </c>
      <c r="D142" s="1">
        <v>107.2638139482</v>
      </c>
      <c r="E142" s="1">
        <v>111.966914110147</v>
      </c>
      <c r="F142" s="1">
        <v>129.201037953271</v>
      </c>
      <c r="G142" s="1">
        <v>133.23779121622499</v>
      </c>
      <c r="H142" s="1">
        <v>126.200312871571</v>
      </c>
      <c r="I142" s="1">
        <v>105.494942032458</v>
      </c>
      <c r="J142" s="1">
        <v>95.933336892522902</v>
      </c>
      <c r="K142" s="1">
        <v>95.918843390948496</v>
      </c>
      <c r="L142" s="1">
        <v>95.039671719798207</v>
      </c>
      <c r="M142" s="1">
        <v>87.073047933181201</v>
      </c>
      <c r="N142" s="1">
        <v>81.136329278054902</v>
      </c>
      <c r="O142" s="1">
        <v>85.5557814096789</v>
      </c>
      <c r="P142" s="1">
        <v>90.0129741146296</v>
      </c>
      <c r="Q142" s="1">
        <v>85.729551829928695</v>
      </c>
      <c r="R142" s="1">
        <v>92.880411084142906</v>
      </c>
      <c r="S142" s="1">
        <v>89.850221498738506</v>
      </c>
      <c r="T142" s="1">
        <v>89.824335377900894</v>
      </c>
      <c r="U142" s="1">
        <v>107.55323440431501</v>
      </c>
      <c r="V142" s="1">
        <v>107.806815805024</v>
      </c>
      <c r="W142" s="1">
        <v>105.63307815114899</v>
      </c>
      <c r="X142" s="1">
        <v>101.046821879543</v>
      </c>
      <c r="Y142" s="1">
        <v>106.588933804405</v>
      </c>
      <c r="Z142" s="1">
        <v>104.710608186968</v>
      </c>
    </row>
    <row r="143" spans="1:26">
      <c r="A143" s="1" t="s">
        <v>1130</v>
      </c>
      <c r="B143" s="1">
        <v>1.4548475000000001</v>
      </c>
      <c r="C143" s="1">
        <v>1.51242083333333</v>
      </c>
      <c r="D143" s="1">
        <v>1.8682491666666701</v>
      </c>
      <c r="E143" s="1">
        <v>1.88961389919167</v>
      </c>
      <c r="F143" s="1">
        <v>2.2011491666666698</v>
      </c>
      <c r="G143" s="1">
        <v>2.37875083333333</v>
      </c>
      <c r="H143" s="1">
        <v>2.1621908333333302</v>
      </c>
      <c r="I143" s="1">
        <v>1.7220991463977799</v>
      </c>
      <c r="J143" s="1">
        <v>1.50868127077323</v>
      </c>
      <c r="K143" s="1">
        <v>1.42027345661433</v>
      </c>
      <c r="L143" s="1">
        <v>1.5420557566968101</v>
      </c>
      <c r="M143" s="1">
        <v>1.36067522852426</v>
      </c>
      <c r="N143" s="1">
        <v>1.4227268095265</v>
      </c>
      <c r="O143" s="1">
        <v>1.6008772952194701</v>
      </c>
      <c r="P143" s="1">
        <v>1.38783382768108</v>
      </c>
      <c r="Q143" s="1">
        <v>1.26581069673447</v>
      </c>
      <c r="R143" s="1">
        <v>1.2342836550132901</v>
      </c>
      <c r="S143" s="1">
        <v>1.2194079739482899</v>
      </c>
      <c r="T143" s="1">
        <v>1.20543333333333</v>
      </c>
      <c r="U143" s="1">
        <v>1.433975</v>
      </c>
      <c r="V143" s="1">
        <v>1.4365250000000001</v>
      </c>
      <c r="W143" s="1">
        <v>1.40740833333333</v>
      </c>
      <c r="X143" s="1">
        <v>1.44525833333333</v>
      </c>
      <c r="Y143" s="1">
        <v>1.5178750000000001</v>
      </c>
      <c r="Z143" s="1">
        <v>1.54205833333333</v>
      </c>
    </row>
    <row r="144" spans="1:26">
      <c r="A144" s="1" t="s">
        <v>1078</v>
      </c>
      <c r="B144" s="1">
        <v>8.4354999999999993</v>
      </c>
      <c r="C144" s="1">
        <v>9.4480833333333294</v>
      </c>
      <c r="D144" s="1">
        <v>10.5819166666667</v>
      </c>
      <c r="E144" s="1">
        <v>11.80925</v>
      </c>
      <c r="F144" s="1">
        <v>12.6843916666667</v>
      </c>
      <c r="G144" s="1">
        <v>13.3719416666667</v>
      </c>
      <c r="H144" s="1">
        <v>14.251325250000001</v>
      </c>
      <c r="I144" s="1">
        <v>15.1046433333333</v>
      </c>
      <c r="J144" s="1">
        <v>15.937247316462701</v>
      </c>
      <c r="K144" s="1">
        <v>16.733329534050199</v>
      </c>
      <c r="L144" s="1">
        <v>17.569998431899599</v>
      </c>
      <c r="M144" s="1">
        <v>18.448506159754199</v>
      </c>
      <c r="N144" s="1">
        <v>19.371896406501101</v>
      </c>
      <c r="O144" s="1">
        <v>20.339481870199702</v>
      </c>
      <c r="P144" s="1">
        <v>21.356448683435801</v>
      </c>
      <c r="Q144" s="1">
        <v>22.424270616359401</v>
      </c>
      <c r="R144" s="1">
        <v>23.546663531083901</v>
      </c>
      <c r="S144" s="1">
        <v>24.7227641666667</v>
      </c>
      <c r="T144" s="1">
        <v>25.958900366743499</v>
      </c>
      <c r="U144" s="1">
        <v>27.256844940476199</v>
      </c>
      <c r="V144" s="1">
        <v>28.6209624101587</v>
      </c>
      <c r="W144" s="1">
        <v>30.0509413442878</v>
      </c>
      <c r="X144" s="1">
        <v>31.5532123338754</v>
      </c>
      <c r="Y144" s="1">
        <v>33.121745265283998</v>
      </c>
      <c r="Z144" s="1">
        <v>34.342122119702402</v>
      </c>
    </row>
    <row r="145" spans="1:26">
      <c r="A145" s="1" t="s">
        <v>1079</v>
      </c>
      <c r="B145" s="1">
        <v>511.55243027251601</v>
      </c>
      <c r="C145" s="1">
        <v>583.66937235339606</v>
      </c>
      <c r="D145" s="1">
        <v>589.951774567332</v>
      </c>
      <c r="E145" s="1">
        <v>615.47334931916396</v>
      </c>
      <c r="F145" s="1">
        <v>710.20797703136702</v>
      </c>
      <c r="G145" s="1">
        <v>732.39769326022804</v>
      </c>
      <c r="H145" s="1">
        <v>693.71322649637398</v>
      </c>
      <c r="I145" s="1">
        <v>579.897426172466</v>
      </c>
      <c r="J145" s="1">
        <v>527.33803229157604</v>
      </c>
      <c r="K145" s="1">
        <v>527.25836264962595</v>
      </c>
      <c r="L145" s="1">
        <v>522.42562489517604</v>
      </c>
      <c r="M145" s="1">
        <v>478.63371847636301</v>
      </c>
      <c r="N145" s="1">
        <v>446.00004143278801</v>
      </c>
      <c r="O145" s="1">
        <v>470.29342334139801</v>
      </c>
      <c r="P145" s="1">
        <v>494.794262222947</v>
      </c>
      <c r="Q145" s="1">
        <v>471.24862571893698</v>
      </c>
      <c r="R145" s="1">
        <v>510.55633845425098</v>
      </c>
      <c r="S145" s="1">
        <v>493.89962385223703</v>
      </c>
      <c r="T145" s="1">
        <v>493.757329875312</v>
      </c>
      <c r="U145" s="1">
        <v>591.21169798260996</v>
      </c>
      <c r="V145" s="1">
        <v>592.60561506302201</v>
      </c>
      <c r="W145" s="1">
        <v>580.65674958785803</v>
      </c>
      <c r="X145" s="1">
        <v>555.44645839822601</v>
      </c>
      <c r="Y145" s="1">
        <v>585.91101318036897</v>
      </c>
      <c r="Z145" s="1">
        <v>575.58600451094503</v>
      </c>
    </row>
    <row r="146" spans="1:26">
      <c r="A146" s="1" t="s">
        <v>1080</v>
      </c>
      <c r="B146" s="1">
        <v>21.884425</v>
      </c>
      <c r="C146" s="1">
        <v>21.886050000000001</v>
      </c>
      <c r="D146" s="1">
        <v>21.885999999999999</v>
      </c>
      <c r="E146" s="1">
        <v>92.338099999999997</v>
      </c>
      <c r="F146" s="1">
        <v>101.69733333333301</v>
      </c>
      <c r="G146" s="1">
        <v>111.23125</v>
      </c>
      <c r="H146" s="1">
        <v>120.57815833333299</v>
      </c>
      <c r="I146" s="1">
        <v>129.22235000000001</v>
      </c>
      <c r="J146" s="1">
        <v>132.888025</v>
      </c>
      <c r="K146" s="1">
        <v>131.274333333333</v>
      </c>
      <c r="L146" s="1">
        <v>128.65166666666701</v>
      </c>
      <c r="M146" s="1">
        <v>125.808108333333</v>
      </c>
      <c r="N146" s="1">
        <v>118.566666666667</v>
      </c>
      <c r="O146" s="1">
        <v>148.88</v>
      </c>
      <c r="P146" s="1">
        <v>150.29750000000001</v>
      </c>
      <c r="Q146" s="1">
        <v>153.86250000000001</v>
      </c>
      <c r="R146" s="1">
        <v>157.5</v>
      </c>
      <c r="S146" s="1">
        <v>157.31166666666701</v>
      </c>
      <c r="T146" s="1">
        <v>158.552641666667</v>
      </c>
      <c r="U146" s="1">
        <v>192.440333333333</v>
      </c>
      <c r="V146" s="1">
        <v>253.49199999999999</v>
      </c>
      <c r="W146" s="1">
        <v>305.79010916000499</v>
      </c>
      <c r="X146" s="1">
        <v>306.08368824523399</v>
      </c>
      <c r="Y146" s="1">
        <v>306.92095149522299</v>
      </c>
      <c r="Z146" s="1">
        <v>358.81079725829699</v>
      </c>
    </row>
    <row r="147" spans="1:26">
      <c r="A147" s="1" t="s">
        <v>1189</v>
      </c>
      <c r="B147" s="1">
        <v>39.981074999999997</v>
      </c>
      <c r="C147" s="1">
        <v>50.003549999999997</v>
      </c>
      <c r="D147" s="1">
        <v>54.461733333333299</v>
      </c>
      <c r="E147" s="1">
        <v>56.901828333333299</v>
      </c>
      <c r="F147" s="1">
        <v>65.903866666666701</v>
      </c>
      <c r="G147" s="1">
        <v>68.037133333333301</v>
      </c>
      <c r="H147" s="1">
        <v>64.349791666666704</v>
      </c>
      <c r="I147" s="1">
        <v>54.322258333333302</v>
      </c>
      <c r="J147" s="1">
        <v>49.409933333333299</v>
      </c>
      <c r="K147" s="1">
        <v>49.2836833333333</v>
      </c>
      <c r="L147" s="1">
        <v>48.801766666666701</v>
      </c>
      <c r="M147" s="1">
        <v>44.7298166666667</v>
      </c>
      <c r="N147" s="1">
        <v>41.867683333333297</v>
      </c>
      <c r="O147" s="1">
        <v>44.100574999999999</v>
      </c>
      <c r="P147" s="1">
        <v>46.4853916666667</v>
      </c>
      <c r="Q147" s="1">
        <v>44.230825000000003</v>
      </c>
      <c r="R147" s="1">
        <v>47.890250000000002</v>
      </c>
      <c r="S147" s="1">
        <v>46.395341666666702</v>
      </c>
      <c r="T147" s="1">
        <v>46.437130833333299</v>
      </c>
      <c r="U147" s="1">
        <v>55.537075000000002</v>
      </c>
      <c r="V147" s="1">
        <v>55.731724999999997</v>
      </c>
      <c r="W147" s="1">
        <v>54.665458333333298</v>
      </c>
      <c r="X147" s="1">
        <v>52.107108333333301</v>
      </c>
      <c r="Y147" s="1">
        <v>54.947200000000002</v>
      </c>
      <c r="Z147" s="1">
        <v>54.144325000000002</v>
      </c>
    </row>
    <row r="148" spans="1:26">
      <c r="A148" s="1" t="s">
        <v>1191</v>
      </c>
      <c r="B148" s="1" t="s">
        <v>1210</v>
      </c>
      <c r="C148" s="1" t="s">
        <v>1210</v>
      </c>
      <c r="D148" s="1" t="s">
        <v>1210</v>
      </c>
      <c r="E148" s="1" t="s">
        <v>1210</v>
      </c>
      <c r="F148" s="1" t="s">
        <v>1210</v>
      </c>
      <c r="G148" s="1" t="s">
        <v>1210</v>
      </c>
      <c r="H148" s="1" t="s">
        <v>1210</v>
      </c>
      <c r="I148" s="1" t="s">
        <v>1210</v>
      </c>
      <c r="J148" s="1" t="s">
        <v>1210</v>
      </c>
      <c r="K148" s="1" t="s">
        <v>1210</v>
      </c>
      <c r="L148" s="1" t="s">
        <v>1210</v>
      </c>
      <c r="M148" s="1" t="s">
        <v>1210</v>
      </c>
      <c r="N148" s="1" t="s">
        <v>1210</v>
      </c>
      <c r="O148" s="1" t="s">
        <v>1210</v>
      </c>
      <c r="P148" s="1" t="s">
        <v>1210</v>
      </c>
      <c r="Q148" s="1" t="s">
        <v>1210</v>
      </c>
      <c r="R148" s="1" t="s">
        <v>1210</v>
      </c>
      <c r="S148" s="1" t="s">
        <v>1210</v>
      </c>
      <c r="T148" s="1" t="s">
        <v>1210</v>
      </c>
      <c r="U148" s="1" t="s">
        <v>1210</v>
      </c>
      <c r="V148" s="1" t="s">
        <v>1210</v>
      </c>
      <c r="W148" s="1" t="s">
        <v>1210</v>
      </c>
      <c r="X148" s="1" t="s">
        <v>1210</v>
      </c>
      <c r="Y148" s="1" t="s">
        <v>1210</v>
      </c>
      <c r="Z148" s="1" t="s">
        <v>1210</v>
      </c>
    </row>
    <row r="149" spans="1:26">
      <c r="A149" s="1" t="s">
        <v>1131</v>
      </c>
      <c r="B149" s="1">
        <v>6.4498083333333298</v>
      </c>
      <c r="C149" s="1">
        <v>7.0734008333333298</v>
      </c>
      <c r="D149" s="1">
        <v>7.5450974999999998</v>
      </c>
      <c r="E149" s="1">
        <v>7.7991716666666697</v>
      </c>
      <c r="F149" s="1">
        <v>8.8018416666666699</v>
      </c>
      <c r="G149" s="1">
        <v>8.9916541666666703</v>
      </c>
      <c r="H149" s="1">
        <v>7.9837788333333304</v>
      </c>
      <c r="I149" s="1">
        <v>7.0802166666666704</v>
      </c>
      <c r="J149" s="1">
        <v>6.7408333333333301</v>
      </c>
      <c r="K149" s="1">
        <v>6.4424999999999999</v>
      </c>
      <c r="L149" s="1">
        <v>6.4133333333333304</v>
      </c>
      <c r="M149" s="1">
        <v>5.8616666666666699</v>
      </c>
      <c r="N149" s="1">
        <v>5.64</v>
      </c>
      <c r="O149" s="1">
        <v>6.2883333333333304</v>
      </c>
      <c r="P149" s="1">
        <v>6.04416666666667</v>
      </c>
      <c r="Q149" s="1">
        <v>5.60460730676329</v>
      </c>
      <c r="R149" s="1">
        <v>5.8174999999999999</v>
      </c>
      <c r="S149" s="1">
        <v>5.875</v>
      </c>
      <c r="T149" s="1">
        <v>6.3016666666666703</v>
      </c>
      <c r="U149" s="1">
        <v>8.0641666666666705</v>
      </c>
      <c r="V149" s="1">
        <v>8.4</v>
      </c>
      <c r="W149" s="1">
        <v>8.2716666666666701</v>
      </c>
      <c r="X149" s="1">
        <v>8.1325000000000003</v>
      </c>
      <c r="Y149" s="1">
        <v>8.8000000000000007</v>
      </c>
      <c r="Z149" s="1">
        <v>9.4158333333333299</v>
      </c>
    </row>
    <row r="150" spans="1:26">
      <c r="A150" s="1" t="s">
        <v>1132</v>
      </c>
      <c r="B150" s="1">
        <v>0.38450000000000001</v>
      </c>
      <c r="C150" s="1">
        <v>0.38450000000000001</v>
      </c>
      <c r="D150" s="1">
        <v>0.38450000000000001</v>
      </c>
      <c r="E150" s="1">
        <v>0.38450000000000001</v>
      </c>
      <c r="F150" s="1">
        <v>0.38450000000000001</v>
      </c>
      <c r="G150" s="1">
        <v>0.38450000000000001</v>
      </c>
      <c r="H150" s="1">
        <v>0.38450000000000001</v>
      </c>
      <c r="I150" s="1">
        <v>0.38450000000000001</v>
      </c>
      <c r="J150" s="1">
        <v>0.38450000000000001</v>
      </c>
      <c r="K150" s="1">
        <v>0.38450000000000001</v>
      </c>
      <c r="L150" s="1">
        <v>0.38450000000000001</v>
      </c>
      <c r="M150" s="1">
        <v>0.38450000000000001</v>
      </c>
      <c r="N150" s="1">
        <v>0.38450000000000001</v>
      </c>
      <c r="O150" s="1">
        <v>0.38450000000000001</v>
      </c>
      <c r="P150" s="1">
        <v>0.38450000000000001</v>
      </c>
      <c r="Q150" s="1">
        <v>0.38450000000000001</v>
      </c>
      <c r="R150" s="1">
        <v>0.38450000000000001</v>
      </c>
      <c r="S150" s="1">
        <v>0.38450000000000001</v>
      </c>
      <c r="T150" s="1">
        <v>0.38450000000000001</v>
      </c>
      <c r="U150" s="1">
        <v>0.38450000000000001</v>
      </c>
      <c r="V150" s="1">
        <v>0.38450000000000001</v>
      </c>
      <c r="W150" s="1">
        <v>0.38450000000000001</v>
      </c>
      <c r="X150" s="1">
        <v>0.38450000000000001</v>
      </c>
      <c r="Y150" s="1">
        <v>0.38450000000000001</v>
      </c>
      <c r="Z150" s="1">
        <v>0.38450000000000001</v>
      </c>
    </row>
    <row r="151" spans="1:26">
      <c r="A151" s="1" t="s">
        <v>1081</v>
      </c>
      <c r="B151" s="1">
        <v>36.078683333333302</v>
      </c>
      <c r="C151" s="1">
        <v>41.111525</v>
      </c>
      <c r="D151" s="1">
        <v>45.046666666666702</v>
      </c>
      <c r="E151" s="1">
        <v>49.5006915833333</v>
      </c>
      <c r="F151" s="1">
        <v>53.648186500000001</v>
      </c>
      <c r="G151" s="1">
        <v>61.927161666666699</v>
      </c>
      <c r="H151" s="1">
        <v>59.723781666666703</v>
      </c>
      <c r="I151" s="1">
        <v>57.751996666666699</v>
      </c>
      <c r="J151" s="1">
        <v>58.257863333333297</v>
      </c>
      <c r="K151" s="1">
        <v>59.514474999999997</v>
      </c>
      <c r="L151" s="1">
        <v>60.271335000000001</v>
      </c>
      <c r="M151" s="1">
        <v>60.738515833333302</v>
      </c>
      <c r="N151" s="1">
        <v>70.408033333333293</v>
      </c>
      <c r="O151" s="1">
        <v>81.712891666666707</v>
      </c>
      <c r="P151" s="1">
        <v>85.193816325757595</v>
      </c>
      <c r="Q151" s="1">
        <v>86.343383333333307</v>
      </c>
      <c r="R151" s="1">
        <v>93.395197222222194</v>
      </c>
      <c r="S151" s="1">
        <v>101.628899206349</v>
      </c>
      <c r="T151" s="1">
        <v>101.100088423521</v>
      </c>
      <c r="U151" s="1">
        <v>102.769271604675</v>
      </c>
      <c r="V151" s="1">
        <v>104.769117033301</v>
      </c>
      <c r="W151" s="1">
        <v>105.45516208793801</v>
      </c>
      <c r="X151" s="1">
        <v>121.824068875756</v>
      </c>
      <c r="Y151" s="1">
        <v>150.036253839864</v>
      </c>
      <c r="Z151" s="1">
        <v>161.83847968471801</v>
      </c>
    </row>
    <row r="152" spans="1:26">
      <c r="A152" s="1" t="s">
        <v>1133</v>
      </c>
      <c r="B152" s="1" t="s">
        <v>1210</v>
      </c>
      <c r="C152" s="1" t="s">
        <v>1210</v>
      </c>
      <c r="D152" s="1" t="s">
        <v>1210</v>
      </c>
      <c r="E152" s="1" t="s">
        <v>1210</v>
      </c>
      <c r="F152" s="1" t="s">
        <v>1210</v>
      </c>
      <c r="G152" s="1" t="s">
        <v>1210</v>
      </c>
      <c r="H152" s="1" t="s">
        <v>1210</v>
      </c>
      <c r="I152" s="1" t="s">
        <v>1210</v>
      </c>
      <c r="J152" s="1" t="s">
        <v>1210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</row>
    <row r="153" spans="1:26">
      <c r="A153" s="1" t="s">
        <v>1082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</row>
    <row r="154" spans="1:26">
      <c r="A154" s="1" t="s">
        <v>1134</v>
      </c>
      <c r="B154" s="1">
        <v>1.319075</v>
      </c>
      <c r="C154" s="1">
        <v>1.43797166666667</v>
      </c>
      <c r="D154" s="1">
        <v>2.0735916666666698</v>
      </c>
      <c r="E154" s="1">
        <v>2.5707724999999999</v>
      </c>
      <c r="F154" s="1">
        <v>2.7821566666666699</v>
      </c>
      <c r="G154" s="1">
        <v>3.3887150645833302</v>
      </c>
      <c r="H154" s="1">
        <v>3.8952208016666701</v>
      </c>
      <c r="I154" s="1">
        <v>3.5634528749999999</v>
      </c>
      <c r="J154" s="1">
        <v>3.2225401036691999</v>
      </c>
      <c r="K154" s="1">
        <v>3.1019498003333301</v>
      </c>
      <c r="L154" s="1">
        <v>3.0567347873333302</v>
      </c>
      <c r="M154" s="1">
        <v>2.96534583333333</v>
      </c>
      <c r="N154" s="1">
        <v>2.7000883333333299</v>
      </c>
      <c r="O154" s="1">
        <v>2.7551433333333302</v>
      </c>
      <c r="P154" s="1">
        <v>2.7192941666666699</v>
      </c>
      <c r="Q154" s="1">
        <v>2.37096994940423</v>
      </c>
      <c r="R154" s="1">
        <v>2.0836483390254799</v>
      </c>
      <c r="S154" s="1">
        <v>2.24451</v>
      </c>
      <c r="T154" s="1">
        <v>2.4613849999999999</v>
      </c>
      <c r="U154" s="1">
        <v>2.7684116666666698</v>
      </c>
      <c r="V154" s="1">
        <v>3.1330293018560398</v>
      </c>
      <c r="W154" s="1">
        <v>3.1887883828961701</v>
      </c>
      <c r="X154" s="1">
        <v>3.2934630812507999</v>
      </c>
      <c r="Y154" s="1">
        <v>3.38753768145423</v>
      </c>
      <c r="Z154" s="1">
        <v>3.45997438644787</v>
      </c>
    </row>
    <row r="155" spans="1:26">
      <c r="A155" s="1" t="s">
        <v>482</v>
      </c>
      <c r="B155" s="1">
        <v>2056.8116666666701</v>
      </c>
      <c r="C155" s="1">
        <v>2177.8625000000002</v>
      </c>
      <c r="D155" s="1">
        <v>2726.49</v>
      </c>
      <c r="E155" s="1">
        <v>3119.0733333333301</v>
      </c>
      <c r="F155" s="1">
        <v>3486.3533333333298</v>
      </c>
      <c r="G155" s="1">
        <v>4105.9250000000002</v>
      </c>
      <c r="H155" s="1">
        <v>5716.2583333333296</v>
      </c>
      <c r="I155" s="1">
        <v>6424.3391666666703</v>
      </c>
      <c r="J155" s="1">
        <v>5974.5775000000003</v>
      </c>
      <c r="K155" s="1">
        <v>6177.9349469696999</v>
      </c>
      <c r="L155" s="1">
        <v>5635.0939393939398</v>
      </c>
      <c r="M155" s="1">
        <v>5032.7115764790797</v>
      </c>
      <c r="N155" s="1">
        <v>4363.2916082449201</v>
      </c>
      <c r="O155" s="1">
        <v>4966.6822965021202</v>
      </c>
      <c r="P155" s="1">
        <v>4758.4301287878798</v>
      </c>
      <c r="Q155" s="1">
        <v>4193.8023075919</v>
      </c>
      <c r="R155" s="1">
        <v>4421.6592864041404</v>
      </c>
      <c r="S155" s="1">
        <v>4303.8825659981903</v>
      </c>
      <c r="T155" s="1">
        <v>4462.1852882909297</v>
      </c>
      <c r="U155" s="1">
        <v>5204.92080811087</v>
      </c>
      <c r="V155" s="1">
        <v>5670.5408979978401</v>
      </c>
      <c r="W155" s="1">
        <v>5618.9334516427998</v>
      </c>
      <c r="X155" s="1">
        <v>5732.10455572912</v>
      </c>
      <c r="Y155" s="1">
        <v>6240.7220784425699</v>
      </c>
      <c r="Z155" s="1">
        <v>6771.0974251965099</v>
      </c>
    </row>
    <row r="156" spans="1:26">
      <c r="A156" s="1" t="s">
        <v>404</v>
      </c>
      <c r="B156" s="1">
        <v>2.45333333333333</v>
      </c>
      <c r="C156" s="1">
        <v>2.6641666666666701</v>
      </c>
      <c r="D156" s="1">
        <v>2.93</v>
      </c>
      <c r="E156" s="1">
        <v>3.3833333333333302</v>
      </c>
      <c r="F156" s="1">
        <v>3.49</v>
      </c>
      <c r="G156" s="1">
        <v>3.5068333333333301</v>
      </c>
      <c r="H156" s="1">
        <v>3.5165000000000002</v>
      </c>
      <c r="I156" s="1">
        <v>3.4784670000000002</v>
      </c>
      <c r="J156" s="1">
        <v>3.4131749999999998</v>
      </c>
      <c r="K156" s="1">
        <v>3.2958416666666701</v>
      </c>
      <c r="L156" s="1">
        <v>3.27403250265816</v>
      </c>
      <c r="M156" s="1">
        <v>3.1280445773524699</v>
      </c>
      <c r="N156" s="1">
        <v>2.9244083333333299</v>
      </c>
      <c r="O156" s="1">
        <v>3.0115083333333299</v>
      </c>
      <c r="P156" s="1">
        <v>2.8251249999999999</v>
      </c>
      <c r="Q156" s="1">
        <v>2.7541000000000002</v>
      </c>
      <c r="R156" s="1">
        <v>2.6375864177489201</v>
      </c>
      <c r="S156" s="1">
        <v>2.7018990259740301</v>
      </c>
      <c r="T156" s="1">
        <v>2.8390441378066398</v>
      </c>
      <c r="U156" s="1">
        <v>3.1844392415223699</v>
      </c>
      <c r="V156" s="1">
        <v>3.3750615872066501</v>
      </c>
      <c r="W156" s="1">
        <v>3.2604884908320999</v>
      </c>
      <c r="X156" s="1">
        <v>3.2866026980329601</v>
      </c>
      <c r="Y156" s="1">
        <v>3.3372655465368002</v>
      </c>
      <c r="Z156" s="1">
        <v>3.4949411976912002</v>
      </c>
    </row>
    <row r="157" spans="1:26">
      <c r="A157" s="1" t="s">
        <v>285</v>
      </c>
      <c r="B157" s="1">
        <v>26.216100000000001</v>
      </c>
      <c r="C157" s="1">
        <v>29.470658333333301</v>
      </c>
      <c r="D157" s="1">
        <v>40.893050000000002</v>
      </c>
      <c r="E157" s="1">
        <v>39.088983333333303</v>
      </c>
      <c r="F157" s="1">
        <v>44.192250000000001</v>
      </c>
      <c r="G157" s="1">
        <v>50.992649999999998</v>
      </c>
      <c r="H157" s="1">
        <v>51.603566666666701</v>
      </c>
      <c r="I157" s="1">
        <v>54.203333333333298</v>
      </c>
      <c r="J157" s="1">
        <v>56.039916666666699</v>
      </c>
      <c r="K157" s="1">
        <v>55.085491666666698</v>
      </c>
      <c r="L157" s="1">
        <v>51.314272500000001</v>
      </c>
      <c r="M157" s="1">
        <v>46.148391177755002</v>
      </c>
      <c r="N157" s="1">
        <v>44.323287609410002</v>
      </c>
      <c r="O157" s="1">
        <v>47.679688453509101</v>
      </c>
      <c r="P157" s="1">
        <v>45.109664180089602</v>
      </c>
      <c r="Q157" s="1">
        <v>43.3131369237488</v>
      </c>
      <c r="R157" s="1">
        <v>42.228794734943399</v>
      </c>
      <c r="S157" s="1">
        <v>42.446184830673999</v>
      </c>
      <c r="T157" s="1">
        <v>44.395154304209697</v>
      </c>
      <c r="U157" s="1">
        <v>45.502839942143098</v>
      </c>
      <c r="V157" s="1">
        <v>47.4924638585099</v>
      </c>
      <c r="W157" s="1">
        <v>50.403719793717698</v>
      </c>
      <c r="X157" s="1">
        <v>52.661429953968302</v>
      </c>
      <c r="Y157" s="1">
        <v>51.795782651733298</v>
      </c>
      <c r="Z157" s="1">
        <v>49.624096002632797</v>
      </c>
    </row>
    <row r="158" spans="1:26">
      <c r="A158" s="1" t="s">
        <v>1135</v>
      </c>
      <c r="B158" s="1">
        <v>2.6960999999999999</v>
      </c>
      <c r="C158" s="1">
        <v>3.27929166666667</v>
      </c>
      <c r="D158" s="1">
        <v>3.4754</v>
      </c>
      <c r="E158" s="1">
        <v>3.9671083333333299</v>
      </c>
      <c r="F158" s="1">
        <v>4.3460749999999999</v>
      </c>
      <c r="G158" s="1">
        <v>4.0938999999999997</v>
      </c>
      <c r="H158" s="1">
        <v>4.0800333333333301</v>
      </c>
      <c r="I158" s="1">
        <v>3.8890750000000001</v>
      </c>
      <c r="J158" s="1">
        <v>3.6576416666666698</v>
      </c>
      <c r="K158" s="1">
        <v>3.2354833333333302</v>
      </c>
      <c r="L158" s="1">
        <v>3.1031583333333299</v>
      </c>
      <c r="M158" s="1">
        <v>2.7679499999999999</v>
      </c>
      <c r="N158" s="1">
        <v>2.4092416666666701</v>
      </c>
      <c r="O158" s="1">
        <v>3.1201416666666701</v>
      </c>
      <c r="P158" s="1">
        <v>3.0152999999999999</v>
      </c>
      <c r="Q158" s="1">
        <v>2.96284777777778</v>
      </c>
      <c r="R158" s="1">
        <v>3.2565416666666702</v>
      </c>
      <c r="S158" s="1">
        <v>3.16061666666667</v>
      </c>
      <c r="T158" s="1">
        <v>3.1545416666666699</v>
      </c>
      <c r="U158" s="1">
        <v>3.7694999999999999</v>
      </c>
      <c r="V158" s="1">
        <v>3.9427833333333302</v>
      </c>
      <c r="W158" s="1">
        <v>3.7793333333333301</v>
      </c>
      <c r="X158" s="1">
        <v>3.6117166666666698</v>
      </c>
      <c r="Y158" s="1">
        <v>3.839375</v>
      </c>
      <c r="Z158" s="1">
        <v>3.89974166666667</v>
      </c>
    </row>
    <row r="159" spans="1:26">
      <c r="A159" s="1" t="s">
        <v>1136</v>
      </c>
      <c r="B159" s="1">
        <v>154.24366166666701</v>
      </c>
      <c r="C159" s="1">
        <v>175.312445</v>
      </c>
      <c r="D159" s="1">
        <v>180.10448</v>
      </c>
      <c r="E159" s="1" t="s">
        <v>1210</v>
      </c>
      <c r="F159" s="1" t="s">
        <v>1210</v>
      </c>
      <c r="G159" s="1" t="s">
        <v>1210</v>
      </c>
      <c r="H159" s="1" t="s">
        <v>1210</v>
      </c>
      <c r="I159" s="1" t="s">
        <v>1210</v>
      </c>
      <c r="J159" s="1" t="s">
        <v>1210</v>
      </c>
      <c r="K159" s="1" t="s">
        <v>1210</v>
      </c>
      <c r="L159" s="1" t="s">
        <v>1210</v>
      </c>
      <c r="M159" s="1" t="s">
        <v>1210</v>
      </c>
      <c r="N159" s="1" t="s">
        <v>1210</v>
      </c>
      <c r="O159" s="1" t="s">
        <v>1210</v>
      </c>
      <c r="P159" s="1" t="s">
        <v>1210</v>
      </c>
      <c r="Q159" s="1" t="s">
        <v>1210</v>
      </c>
      <c r="R159" s="1" t="s">
        <v>1210</v>
      </c>
      <c r="S159" s="1" t="s">
        <v>1210</v>
      </c>
      <c r="T159" s="1" t="s">
        <v>1210</v>
      </c>
      <c r="U159" s="1" t="s">
        <v>1210</v>
      </c>
      <c r="V159" s="1" t="s">
        <v>1210</v>
      </c>
      <c r="W159" s="1" t="s">
        <v>1210</v>
      </c>
      <c r="X159" s="1" t="s">
        <v>1210</v>
      </c>
      <c r="Y159" s="1" t="s">
        <v>1210</v>
      </c>
      <c r="Z159" s="1" t="s">
        <v>1210</v>
      </c>
    </row>
    <row r="160" spans="1:26">
      <c r="A160" s="1" t="s">
        <v>1137</v>
      </c>
      <c r="B160" s="1" t="s">
        <v>1210</v>
      </c>
      <c r="C160" s="1" t="s">
        <v>1210</v>
      </c>
      <c r="D160" s="1" t="s">
        <v>1210</v>
      </c>
      <c r="E160" s="1" t="s">
        <v>1210</v>
      </c>
      <c r="F160" s="1" t="s">
        <v>1210</v>
      </c>
      <c r="G160" s="1" t="s">
        <v>1210</v>
      </c>
      <c r="H160" s="1" t="s">
        <v>1210</v>
      </c>
      <c r="I160" s="1" t="s">
        <v>1210</v>
      </c>
      <c r="J160" s="1" t="s">
        <v>1210</v>
      </c>
      <c r="K160" s="1" t="s">
        <v>1210</v>
      </c>
      <c r="L160" s="1" t="s">
        <v>1210</v>
      </c>
      <c r="M160" s="1" t="s">
        <v>1210</v>
      </c>
      <c r="N160" s="1" t="s">
        <v>1210</v>
      </c>
      <c r="O160" s="1" t="s">
        <v>1210</v>
      </c>
      <c r="P160" s="1" t="s">
        <v>1210</v>
      </c>
      <c r="Q160" s="1" t="s">
        <v>1210</v>
      </c>
      <c r="R160" s="1" t="s">
        <v>1210</v>
      </c>
      <c r="S160" s="1" t="s">
        <v>1210</v>
      </c>
      <c r="T160" s="1" t="s">
        <v>1210</v>
      </c>
      <c r="U160" s="1" t="s">
        <v>1210</v>
      </c>
      <c r="V160" s="1" t="s">
        <v>1210</v>
      </c>
      <c r="W160" s="1" t="s">
        <v>1210</v>
      </c>
      <c r="X160" s="1" t="s">
        <v>1210</v>
      </c>
      <c r="Y160" s="1" t="s">
        <v>1210</v>
      </c>
      <c r="Z160" s="1" t="s">
        <v>1210</v>
      </c>
    </row>
    <row r="161" spans="1:26">
      <c r="A161" s="1" t="s">
        <v>1138</v>
      </c>
      <c r="B161" s="1">
        <v>3.64</v>
      </c>
      <c r="C161" s="1">
        <v>3.64</v>
      </c>
      <c r="D161" s="1">
        <v>3.64</v>
      </c>
      <c r="E161" s="1">
        <v>3.64</v>
      </c>
      <c r="F161" s="1">
        <v>3.64</v>
      </c>
      <c r="G161" s="1">
        <v>3.64</v>
      </c>
      <c r="H161" s="1">
        <v>3.64</v>
      </c>
      <c r="I161" s="1">
        <v>3.64</v>
      </c>
      <c r="J161" s="1">
        <v>3.64</v>
      </c>
      <c r="K161" s="1">
        <v>3.64</v>
      </c>
      <c r="L161" s="1">
        <v>3.64</v>
      </c>
      <c r="M161" s="1">
        <v>3.64</v>
      </c>
      <c r="N161" s="1">
        <v>3.64</v>
      </c>
      <c r="O161" s="1">
        <v>3.64</v>
      </c>
      <c r="P161" s="1">
        <v>3.64</v>
      </c>
      <c r="Q161" s="1">
        <v>3.64</v>
      </c>
      <c r="R161" s="1">
        <v>3.64</v>
      </c>
      <c r="S161" s="1">
        <v>3.64</v>
      </c>
      <c r="T161" s="1">
        <v>3.64</v>
      </c>
      <c r="U161" s="1">
        <v>3.64</v>
      </c>
      <c r="V161" s="1">
        <v>3.64</v>
      </c>
      <c r="W161" s="1">
        <v>3.64</v>
      </c>
      <c r="X161" s="1">
        <v>3.64</v>
      </c>
      <c r="Y161" s="1">
        <v>3.64</v>
      </c>
      <c r="Z161" s="1">
        <v>3.64</v>
      </c>
    </row>
    <row r="162" spans="1:26">
      <c r="A162" s="1" t="s">
        <v>1086</v>
      </c>
      <c r="B162" s="1">
        <v>0.30842174999999999</v>
      </c>
      <c r="C162" s="1">
        <v>0.71679433333333298</v>
      </c>
      <c r="D162" s="1">
        <v>0.88755758333333301</v>
      </c>
      <c r="E162" s="1">
        <v>1.5332837500000001</v>
      </c>
      <c r="F162" s="1">
        <v>2.1708720833333301</v>
      </c>
      <c r="G162" s="1">
        <v>2.9060791666666699</v>
      </c>
      <c r="H162" s="1">
        <v>3.3055430000000001</v>
      </c>
      <c r="I162" s="1">
        <v>3.3200070833333299</v>
      </c>
      <c r="J162" s="1">
        <v>3.26365683333333</v>
      </c>
      <c r="K162" s="1">
        <v>2.9136531666666698</v>
      </c>
      <c r="L162" s="1">
        <v>2.8089833333333298</v>
      </c>
      <c r="M162" s="1">
        <v>2.43825</v>
      </c>
      <c r="N162" s="1">
        <v>2.5188583333333301</v>
      </c>
      <c r="O162" s="1">
        <v>3.0493250000000001</v>
      </c>
      <c r="P162" s="1">
        <v>3.1779000000000002</v>
      </c>
      <c r="Q162" s="1">
        <v>3.04860833333333</v>
      </c>
      <c r="R162" s="1">
        <v>3.4681999999999999</v>
      </c>
      <c r="S162" s="1">
        <v>3.32791666666667</v>
      </c>
      <c r="T162" s="1">
        <v>3.3491749999999998</v>
      </c>
      <c r="U162" s="1">
        <v>4.00566666666667</v>
      </c>
      <c r="V162" s="1">
        <v>4.0591833333333298</v>
      </c>
      <c r="W162" s="1">
        <v>4.0524916666666702</v>
      </c>
      <c r="X162" s="1">
        <v>3.9416166666666701</v>
      </c>
      <c r="Y162" s="1">
        <v>4.2379249999999997</v>
      </c>
      <c r="Z162" s="1">
        <v>4.2439916666666697</v>
      </c>
    </row>
    <row r="163" spans="1:26">
      <c r="A163" s="1" t="s">
        <v>1139</v>
      </c>
      <c r="B163" s="1">
        <v>5.12083333333333</v>
      </c>
      <c r="C163" s="1">
        <v>5.7848333333333297</v>
      </c>
      <c r="D163" s="1">
        <v>9.7050833333333308</v>
      </c>
      <c r="E163" s="1">
        <v>24.619900000000001</v>
      </c>
      <c r="F163" s="1">
        <v>28.129166666666698</v>
      </c>
      <c r="G163" s="1">
        <v>29.168524999999999</v>
      </c>
      <c r="H163" s="1">
        <v>31.348483333333299</v>
      </c>
      <c r="I163" s="1">
        <v>30.692025000000001</v>
      </c>
      <c r="J163" s="1">
        <v>28.813741666666701</v>
      </c>
      <c r="K163" s="1">
        <v>28.284441666666702</v>
      </c>
      <c r="L163" s="1">
        <v>27.190958333333299</v>
      </c>
      <c r="M163" s="1">
        <v>25.580845367540402</v>
      </c>
      <c r="N163" s="1">
        <v>24.852875000000001</v>
      </c>
      <c r="O163" s="1">
        <v>31.740358333333301</v>
      </c>
      <c r="P163" s="1">
        <v>30.367915338305899</v>
      </c>
      <c r="Q163" s="1">
        <v>29.382341370930199</v>
      </c>
      <c r="R163" s="1">
        <v>30.839831351991698</v>
      </c>
      <c r="S163" s="1">
        <v>31.837143640281301</v>
      </c>
      <c r="T163" s="1">
        <v>38.378207144416798</v>
      </c>
      <c r="U163" s="1">
        <v>60.937650108895198</v>
      </c>
      <c r="V163" s="1">
        <v>67.0559333333333</v>
      </c>
      <c r="W163" s="1">
        <v>58.342801185171901</v>
      </c>
      <c r="X163" s="1">
        <v>62.668133333333301</v>
      </c>
      <c r="Y163" s="1">
        <v>64.7376583333333</v>
      </c>
      <c r="Z163" s="1">
        <v>72.104908333333299</v>
      </c>
    </row>
    <row r="164" spans="1:26">
      <c r="A164" s="1" t="s">
        <v>1088</v>
      </c>
      <c r="B164" s="1">
        <v>306.82</v>
      </c>
      <c r="C164" s="1">
        <v>301.52981666666699</v>
      </c>
      <c r="D164" s="1">
        <v>312.31409166666703</v>
      </c>
      <c r="E164" s="1">
        <v>333.94192500000003</v>
      </c>
      <c r="F164" s="1">
        <v>389.696216666667</v>
      </c>
      <c r="G164" s="1">
        <v>442.99189166666702</v>
      </c>
      <c r="H164" s="1">
        <v>475.36524166666698</v>
      </c>
      <c r="I164" s="1">
        <v>537.65498475000004</v>
      </c>
      <c r="J164" s="1">
        <v>577.44897458333298</v>
      </c>
      <c r="K164" s="1">
        <v>557.82264075000001</v>
      </c>
      <c r="L164" s="1">
        <v>551.71033333333298</v>
      </c>
      <c r="M164" s="1">
        <v>546.95500000000004</v>
      </c>
      <c r="N164" s="1">
        <v>546.84865316666696</v>
      </c>
      <c r="O164" s="1">
        <v>568.28132683333297</v>
      </c>
      <c r="P164" s="1">
        <v>583.13090658333294</v>
      </c>
      <c r="Q164" s="1">
        <v>600.30651975000001</v>
      </c>
      <c r="R164" s="1">
        <v>614.29514241666698</v>
      </c>
      <c r="S164" s="1">
        <v>646.63597449999997</v>
      </c>
      <c r="T164" s="1">
        <v>682.43779538750005</v>
      </c>
      <c r="U164" s="1">
        <v>719.85955550000006</v>
      </c>
      <c r="V164" s="1">
        <v>787.25152175000005</v>
      </c>
      <c r="W164" s="1">
        <v>831.55433975000005</v>
      </c>
      <c r="X164" s="1">
        <v>861.09341216666701</v>
      </c>
      <c r="Y164" s="1">
        <v>899.35050899999999</v>
      </c>
      <c r="Z164" s="1">
        <v>943.27804816666696</v>
      </c>
    </row>
    <row r="165" spans="1:26">
      <c r="A165" s="1" t="s">
        <v>1140</v>
      </c>
      <c r="B165" s="1">
        <v>2.4621729166666699</v>
      </c>
      <c r="C165" s="1">
        <v>2.5593716666666699</v>
      </c>
      <c r="D165" s="1">
        <v>2.9476868333333299</v>
      </c>
      <c r="E165" s="1">
        <v>3.0131519999999998</v>
      </c>
      <c r="F165" s="1">
        <v>3.2863615249999998</v>
      </c>
      <c r="G165" s="1">
        <v>3.4780400715000002</v>
      </c>
      <c r="H165" s="1">
        <v>3.3762581025</v>
      </c>
      <c r="I165" s="1">
        <v>2.9732376583333302</v>
      </c>
      <c r="J165" s="1">
        <v>2.7807234306666699</v>
      </c>
      <c r="K165" s="1">
        <v>2.71033673441667</v>
      </c>
      <c r="L165" s="1">
        <v>2.7792940446967198</v>
      </c>
      <c r="M165" s="1">
        <v>2.6165724724799602</v>
      </c>
      <c r="N165" s="1">
        <v>2.64417628032353</v>
      </c>
      <c r="O165" s="1">
        <v>2.7307785095373101</v>
      </c>
      <c r="P165" s="1">
        <v>2.4846565845233801</v>
      </c>
      <c r="Q165" s="1">
        <v>2.3174720118126002</v>
      </c>
      <c r="R165" s="1">
        <v>2.29231194992329</v>
      </c>
      <c r="S165" s="1">
        <v>2.3109000348257598</v>
      </c>
      <c r="T165" s="1">
        <v>2.3317688461830799</v>
      </c>
      <c r="U165" s="1">
        <v>2.5608736880983001</v>
      </c>
      <c r="V165" s="1">
        <v>2.56492967258212</v>
      </c>
      <c r="W165" s="1">
        <v>2.5543771164103699</v>
      </c>
      <c r="X165" s="1">
        <v>2.5872799505726101</v>
      </c>
      <c r="Y165" s="1">
        <v>2.6488263218660499</v>
      </c>
      <c r="Z165" s="1">
        <v>2.6649608451969602</v>
      </c>
    </row>
    <row r="166" spans="1:26">
      <c r="A166" s="1" t="s">
        <v>1198</v>
      </c>
      <c r="B166" s="1">
        <v>1542.9469666666701</v>
      </c>
      <c r="C166" s="1">
        <v>1703.09690833333</v>
      </c>
      <c r="D166" s="1">
        <v>1736.20738333333</v>
      </c>
      <c r="E166" s="1">
        <v>0.938283072395239</v>
      </c>
      <c r="F166" s="1">
        <v>1.08270508132601</v>
      </c>
      <c r="G166" s="1">
        <v>1.11653308564468</v>
      </c>
      <c r="H166" s="1">
        <v>1.0575589962396501</v>
      </c>
      <c r="I166" s="1">
        <v>0.88404792718496095</v>
      </c>
      <c r="J166" s="1">
        <v>0.80392164774760499</v>
      </c>
      <c r="K166" s="1">
        <v>0.80380019216141596</v>
      </c>
      <c r="L166" s="1">
        <v>0.79643273094909595</v>
      </c>
      <c r="M166" s="1">
        <v>0.72967239998408795</v>
      </c>
      <c r="N166" s="1">
        <v>0.67992268004272904</v>
      </c>
      <c r="O166" s="1">
        <v>0.71695770201613596</v>
      </c>
      <c r="P166" s="1">
        <v>0.75430899010597896</v>
      </c>
      <c r="Q166" s="1">
        <v>0.71841389865332195</v>
      </c>
      <c r="R166" s="1">
        <v>0.77833812041681205</v>
      </c>
      <c r="S166" s="1">
        <v>0.75294512270200198</v>
      </c>
      <c r="T166" s="1">
        <v>0.75272819693259096</v>
      </c>
      <c r="U166" s="1">
        <v>0.90129642336709603</v>
      </c>
      <c r="V166" s="1">
        <v>0.90342143625728799</v>
      </c>
      <c r="W166" s="1">
        <v>0.88520550826938005</v>
      </c>
      <c r="X166" s="1">
        <v>0.84677266710809596</v>
      </c>
      <c r="Y166" s="1">
        <v>0.89321558147922597</v>
      </c>
      <c r="Z166" s="1">
        <v>0.87747520723301198</v>
      </c>
    </row>
    <row r="167" spans="1:26">
      <c r="A167" s="1" t="s">
        <v>1141</v>
      </c>
      <c r="B167" s="1">
        <v>2.2031635833333301</v>
      </c>
      <c r="C167" s="1">
        <v>4.5525059166666697</v>
      </c>
      <c r="D167" s="1">
        <v>6.8832428333333304</v>
      </c>
      <c r="E167" s="1">
        <v>7.1189583333333299</v>
      </c>
      <c r="F167" s="1">
        <v>7.97817166666667</v>
      </c>
      <c r="G167" s="1">
        <v>8.8421091666666705</v>
      </c>
      <c r="H167" s="1">
        <v>9.0883249999999993</v>
      </c>
      <c r="I167" s="1">
        <v>9.3475833333333291</v>
      </c>
      <c r="J167" s="1">
        <v>9.9023241666666699</v>
      </c>
      <c r="K167" s="1">
        <v>10.5579703333333</v>
      </c>
      <c r="L167" s="1">
        <v>12.4486425</v>
      </c>
      <c r="M167" s="1">
        <v>13.536754999999999</v>
      </c>
      <c r="N167" s="1">
        <v>14.6952016666667</v>
      </c>
      <c r="O167" s="1">
        <v>16.2084512541667</v>
      </c>
      <c r="P167" s="1">
        <v>18.498601323751</v>
      </c>
      <c r="Q167" s="1">
        <v>17.622935005819699</v>
      </c>
      <c r="R167" s="1">
        <v>19.0684168084154</v>
      </c>
      <c r="S167" s="1">
        <v>18.449952624878101</v>
      </c>
      <c r="T167" s="1">
        <v>18.4664030495763</v>
      </c>
      <c r="U167" s="1">
        <v>22.090644560211299</v>
      </c>
      <c r="V167" s="1">
        <v>22.148860634783802</v>
      </c>
      <c r="W167" s="1">
        <v>21.741138360711599</v>
      </c>
      <c r="X167" s="1">
        <v>20.750859237091401</v>
      </c>
      <c r="Y167" s="1">
        <v>21.8847418164689</v>
      </c>
      <c r="Z167" s="1">
        <v>21.507059099358202</v>
      </c>
    </row>
    <row r="168" spans="1:26">
      <c r="A168" s="1" t="s">
        <v>1142</v>
      </c>
      <c r="B168" s="1">
        <v>3.75</v>
      </c>
      <c r="C168" s="1">
        <v>3.75</v>
      </c>
      <c r="D168" s="1">
        <v>3.75</v>
      </c>
      <c r="E168" s="1">
        <v>3.75</v>
      </c>
      <c r="F168" s="1">
        <v>3.75</v>
      </c>
      <c r="G168" s="1">
        <v>3.75</v>
      </c>
      <c r="H168" s="1">
        <v>3.75</v>
      </c>
      <c r="I168" s="1">
        <v>3.75</v>
      </c>
      <c r="J168" s="1">
        <v>3.75</v>
      </c>
      <c r="K168" s="1">
        <v>3.75</v>
      </c>
      <c r="L168" s="1">
        <v>3.75</v>
      </c>
      <c r="M168" s="1">
        <v>3.75</v>
      </c>
      <c r="N168" s="1">
        <v>3.75</v>
      </c>
      <c r="O168" s="1">
        <v>3.75</v>
      </c>
      <c r="P168" s="1">
        <v>3.75</v>
      </c>
      <c r="Q168" s="1">
        <v>3.75</v>
      </c>
      <c r="R168" s="1">
        <v>3.75</v>
      </c>
      <c r="S168" s="1">
        <v>3.75</v>
      </c>
      <c r="T168" s="1">
        <v>3.75</v>
      </c>
      <c r="U168" s="1">
        <v>3.75</v>
      </c>
      <c r="V168" s="1">
        <v>3.75</v>
      </c>
      <c r="W168" s="1">
        <v>3.75</v>
      </c>
      <c r="X168" s="1">
        <v>3.75</v>
      </c>
      <c r="Y168" s="1">
        <v>3.75</v>
      </c>
      <c r="Z168" s="1">
        <v>3.75</v>
      </c>
    </row>
    <row r="169" spans="1:26">
      <c r="A169" s="1" t="s">
        <v>1090</v>
      </c>
      <c r="B169" s="1">
        <v>511.55243027251601</v>
      </c>
      <c r="C169" s="1">
        <v>583.66937235339606</v>
      </c>
      <c r="D169" s="1">
        <v>589.951774567332</v>
      </c>
      <c r="E169" s="1">
        <v>615.47334931916396</v>
      </c>
      <c r="F169" s="1">
        <v>710.20797703136702</v>
      </c>
      <c r="G169" s="1">
        <v>732.39769326022804</v>
      </c>
      <c r="H169" s="1">
        <v>693.71322649637398</v>
      </c>
      <c r="I169" s="1">
        <v>579.897426172466</v>
      </c>
      <c r="J169" s="1">
        <v>527.33803229157604</v>
      </c>
      <c r="K169" s="1">
        <v>527.25836264962595</v>
      </c>
      <c r="L169" s="1">
        <v>522.42562489517604</v>
      </c>
      <c r="M169" s="1">
        <v>478.63371847636301</v>
      </c>
      <c r="N169" s="1">
        <v>446.00004143278801</v>
      </c>
      <c r="O169" s="1">
        <v>470.29342334139801</v>
      </c>
      <c r="P169" s="1">
        <v>494.794262222947</v>
      </c>
      <c r="Q169" s="1">
        <v>471.24862571893698</v>
      </c>
      <c r="R169" s="1">
        <v>510.55633845425098</v>
      </c>
      <c r="S169" s="1">
        <v>493.89962385223703</v>
      </c>
      <c r="T169" s="1">
        <v>493.757329875312</v>
      </c>
      <c r="U169" s="1">
        <v>591.21169798260996</v>
      </c>
      <c r="V169" s="1">
        <v>592.60561506302201</v>
      </c>
      <c r="W169" s="1">
        <v>580.65674958785803</v>
      </c>
      <c r="X169" s="1">
        <v>555.44645839822601</v>
      </c>
      <c r="Y169" s="1">
        <v>585.91101318036897</v>
      </c>
      <c r="Z169" s="1">
        <v>575.58600451094503</v>
      </c>
    </row>
    <row r="170" spans="1:26">
      <c r="A170" s="1" t="s">
        <v>1143</v>
      </c>
      <c r="B170" s="1" t="s">
        <v>1210</v>
      </c>
      <c r="C170" s="1">
        <v>5.9123000000000001</v>
      </c>
      <c r="D170" s="1">
        <v>10.030799999999999</v>
      </c>
      <c r="E170" s="1">
        <v>11.6615</v>
      </c>
      <c r="F170" s="1">
        <v>63.165900000000001</v>
      </c>
      <c r="G170" s="1">
        <v>66.913659999999993</v>
      </c>
      <c r="H170" s="1">
        <v>64.405225000000002</v>
      </c>
      <c r="I170" s="1">
        <v>57.5900416666667</v>
      </c>
      <c r="J170" s="1">
        <v>58.3757083333333</v>
      </c>
      <c r="K170" s="1">
        <v>66.717825000000005</v>
      </c>
      <c r="L170" s="1">
        <v>67.155124999999998</v>
      </c>
      <c r="M170" s="1">
        <v>58.449566666666698</v>
      </c>
      <c r="N170" s="1">
        <v>55.72925</v>
      </c>
      <c r="O170" s="1">
        <v>67.604933333333307</v>
      </c>
      <c r="P170" s="1">
        <v>77.722841666666696</v>
      </c>
      <c r="Q170" s="1">
        <v>73.355433333333394</v>
      </c>
      <c r="R170" s="1">
        <v>87.958808333333295</v>
      </c>
      <c r="S170" s="1">
        <v>85.158841666666703</v>
      </c>
      <c r="T170" s="1">
        <v>88.405308333333295</v>
      </c>
      <c r="U170" s="1">
        <v>108.811425</v>
      </c>
      <c r="V170" s="1">
        <v>111.27785</v>
      </c>
      <c r="W170" s="1">
        <v>107.75885</v>
      </c>
      <c r="X170" s="1">
        <v>100.17507500000001</v>
      </c>
      <c r="Y170" s="1">
        <v>105.249558333333</v>
      </c>
      <c r="Z170" s="1">
        <v>103.16329166666701</v>
      </c>
    </row>
    <row r="171" spans="1:26">
      <c r="A171" s="1" t="s">
        <v>1144</v>
      </c>
      <c r="B171" s="1">
        <v>4.9699833333333299</v>
      </c>
      <c r="C171" s="1">
        <v>5.0263416666666698</v>
      </c>
      <c r="D171" s="1">
        <v>5.2621916666666699</v>
      </c>
      <c r="E171" s="1">
        <v>5.3425833333333301</v>
      </c>
      <c r="F171" s="1">
        <v>5.7138166666666699</v>
      </c>
      <c r="G171" s="1">
        <v>5.8575416666666698</v>
      </c>
      <c r="H171" s="1">
        <v>5.4800333333333304</v>
      </c>
      <c r="I171" s="1">
        <v>5.4007166666666704</v>
      </c>
      <c r="J171" s="1">
        <v>5.5</v>
      </c>
      <c r="K171" s="1">
        <v>5.5</v>
      </c>
      <c r="L171" s="1">
        <v>5.5196916666666702</v>
      </c>
      <c r="M171" s="1">
        <v>6.7010595376306004</v>
      </c>
      <c r="N171" s="1">
        <v>9.4572432834492108</v>
      </c>
      <c r="O171" s="1">
        <v>13.609940452489999</v>
      </c>
      <c r="P171" s="1">
        <v>12.06775664095</v>
      </c>
      <c r="Q171" s="1">
        <v>12.381031907384401</v>
      </c>
      <c r="R171" s="1">
        <v>13.704031214932501</v>
      </c>
      <c r="S171" s="1">
        <v>12.0583166666667</v>
      </c>
      <c r="T171" s="1">
        <v>12.747033333333301</v>
      </c>
      <c r="U171" s="1">
        <v>13.313924999999999</v>
      </c>
      <c r="V171" s="1">
        <v>13.3191166666667</v>
      </c>
      <c r="W171" s="1">
        <v>13.6478416666667</v>
      </c>
      <c r="X171" s="1">
        <v>13.9111166666667</v>
      </c>
      <c r="Y171" s="1">
        <v>14.033250000000001</v>
      </c>
      <c r="Z171" s="1">
        <v>17.616518755411299</v>
      </c>
    </row>
    <row r="172" spans="1:26">
      <c r="A172" s="1" t="s">
        <v>1092</v>
      </c>
      <c r="B172" s="1">
        <v>920.73249999999996</v>
      </c>
      <c r="C172" s="1">
        <v>981.48249999999996</v>
      </c>
      <c r="D172" s="1">
        <v>1563.6179999999999</v>
      </c>
      <c r="E172" s="1">
        <v>1804.1949999999999</v>
      </c>
      <c r="F172" s="1">
        <v>2092.125</v>
      </c>
      <c r="G172" s="1">
        <v>1986.1541666666701</v>
      </c>
      <c r="H172" s="1">
        <v>2099.0338657500001</v>
      </c>
      <c r="I172" s="1">
        <v>2347.9416666666698</v>
      </c>
      <c r="J172" s="1">
        <v>2701.2966666666698</v>
      </c>
      <c r="K172" s="1">
        <v>2889.5875000000001</v>
      </c>
      <c r="L172" s="1">
        <v>2961.90916666667</v>
      </c>
      <c r="M172" s="1">
        <v>2985.1858333333298</v>
      </c>
      <c r="N172" s="1">
        <v>2981.5149999999999</v>
      </c>
      <c r="O172" s="1">
        <v>3385.65</v>
      </c>
      <c r="P172" s="1">
        <v>3978.0866666666702</v>
      </c>
      <c r="Q172" s="1">
        <v>4349.1616666666696</v>
      </c>
      <c r="R172" s="1">
        <v>4344.0366666666696</v>
      </c>
      <c r="S172" s="1">
        <v>4332.5008333333299</v>
      </c>
      <c r="T172" s="1">
        <v>4524.15916666667</v>
      </c>
      <c r="U172" s="1">
        <v>5080.7475000000004</v>
      </c>
      <c r="V172" s="1">
        <v>6290.2974149522797</v>
      </c>
      <c r="W172" s="1">
        <v>7384.4322224869202</v>
      </c>
      <c r="X172" s="1">
        <v>7931.6317497372802</v>
      </c>
      <c r="Y172" s="1">
        <v>9010.2211440091505</v>
      </c>
      <c r="Z172" s="1">
        <v>9829.9267633237505</v>
      </c>
    </row>
    <row r="173" spans="1:26">
      <c r="A173" s="1" t="s">
        <v>1145</v>
      </c>
      <c r="B173" s="1">
        <v>1.4100408333333301</v>
      </c>
      <c r="C173" s="1">
        <v>1.48480583333333</v>
      </c>
      <c r="D173" s="1">
        <v>1.67360166666667</v>
      </c>
      <c r="E173" s="1">
        <v>1.69495666666667</v>
      </c>
      <c r="F173" s="1">
        <v>1.72396333333333</v>
      </c>
      <c r="G173" s="1">
        <v>1.7917225000000001</v>
      </c>
      <c r="H173" s="1">
        <v>1.7905883333333299</v>
      </c>
      <c r="I173" s="1">
        <v>1.7421833333333301</v>
      </c>
      <c r="J173" s="1">
        <v>1.6902283333333299</v>
      </c>
      <c r="K173" s="1">
        <v>1.6643975</v>
      </c>
      <c r="L173" s="1">
        <v>1.58893333333333</v>
      </c>
      <c r="M173" s="1">
        <v>1.5071016666666699</v>
      </c>
      <c r="N173" s="1">
        <v>1.4148608333333299</v>
      </c>
      <c r="O173" s="1">
        <v>1.45451471343873</v>
      </c>
      <c r="P173" s="1">
        <v>1.36350833333333</v>
      </c>
      <c r="Q173" s="1">
        <v>1.2577758771929799</v>
      </c>
      <c r="R173" s="1">
        <v>1.2496762037036999</v>
      </c>
      <c r="S173" s="1">
        <v>1.2513000000000001</v>
      </c>
      <c r="T173" s="1">
        <v>1.26705</v>
      </c>
      <c r="U173" s="1">
        <v>1.374825</v>
      </c>
      <c r="V173" s="1">
        <v>1.3815463636363601</v>
      </c>
      <c r="W173" s="1">
        <v>1.380925</v>
      </c>
      <c r="X173" s="1">
        <v>1.34884166666667</v>
      </c>
      <c r="Y173" s="1">
        <v>1.36415833333333</v>
      </c>
      <c r="Z173" s="1">
        <v>1.37974166666667</v>
      </c>
    </row>
    <row r="174" spans="1:26">
      <c r="A174" s="1" t="s">
        <v>1202</v>
      </c>
      <c r="B174" s="1" t="s">
        <v>1210</v>
      </c>
      <c r="C174" s="1" t="s">
        <v>1210</v>
      </c>
      <c r="D174" s="1" t="s">
        <v>1210</v>
      </c>
      <c r="E174" s="1" t="s">
        <v>1210</v>
      </c>
      <c r="F174" s="1" t="s">
        <v>1210</v>
      </c>
      <c r="G174" s="1" t="s">
        <v>1210</v>
      </c>
      <c r="H174" s="1" t="s">
        <v>1210</v>
      </c>
      <c r="I174" s="1" t="s">
        <v>1210</v>
      </c>
      <c r="J174" s="1" t="s">
        <v>1210</v>
      </c>
      <c r="K174" s="1" t="s">
        <v>1210</v>
      </c>
      <c r="L174" s="1" t="s">
        <v>1210</v>
      </c>
      <c r="M174" s="1" t="s">
        <v>1210</v>
      </c>
      <c r="N174" s="1" t="s">
        <v>1210</v>
      </c>
      <c r="O174" s="1" t="s">
        <v>1210</v>
      </c>
      <c r="P174" s="1" t="s">
        <v>1210</v>
      </c>
      <c r="Q174" s="1">
        <v>1.79</v>
      </c>
      <c r="R174" s="1">
        <v>1.79</v>
      </c>
      <c r="S174" s="1">
        <v>1.79</v>
      </c>
      <c r="T174" s="1">
        <v>1.79</v>
      </c>
      <c r="U174" s="1">
        <v>1.79</v>
      </c>
      <c r="V174" s="1">
        <v>1.79</v>
      </c>
      <c r="W174" s="1">
        <v>1.79</v>
      </c>
      <c r="X174" s="1">
        <v>1.79</v>
      </c>
      <c r="Y174" s="1">
        <v>1.79</v>
      </c>
      <c r="Z174" s="1">
        <v>1.79</v>
      </c>
    </row>
    <row r="175" spans="1:26">
      <c r="A175" s="1" t="s">
        <v>1146</v>
      </c>
      <c r="B175" s="1">
        <v>30.653749999999999</v>
      </c>
      <c r="C175" s="1">
        <v>33.6161666666667</v>
      </c>
      <c r="D175" s="1">
        <v>35.233416666666699</v>
      </c>
      <c r="E175" s="1">
        <v>41.362833333333299</v>
      </c>
      <c r="F175" s="1">
        <v>46.035166666666697</v>
      </c>
      <c r="G175" s="1">
        <v>48.354833333333303</v>
      </c>
      <c r="H175" s="1">
        <v>45.326749999999997</v>
      </c>
      <c r="I175" s="1">
        <v>36.772916666666703</v>
      </c>
      <c r="J175" s="1">
        <v>32.256916666666697</v>
      </c>
      <c r="K175" s="1">
        <v>31.018249999999998</v>
      </c>
      <c r="L175" s="1">
        <v>29.69725</v>
      </c>
      <c r="M175" s="1">
        <v>24.694333333333301</v>
      </c>
      <c r="N175" s="1">
        <v>21.361416666666699</v>
      </c>
      <c r="O175" s="1" t="s">
        <v>1210</v>
      </c>
      <c r="P175" s="1" t="s">
        <v>1210</v>
      </c>
      <c r="Q175" s="1" t="s">
        <v>1210</v>
      </c>
      <c r="R175" s="1" t="s">
        <v>1210</v>
      </c>
      <c r="S175" s="1" t="s">
        <v>1210</v>
      </c>
      <c r="T175" s="1" t="s">
        <v>1210</v>
      </c>
      <c r="U175" s="1" t="s">
        <v>1210</v>
      </c>
      <c r="V175" s="1" t="s">
        <v>1210</v>
      </c>
      <c r="W175" s="1" t="s">
        <v>1210</v>
      </c>
      <c r="X175" s="1" t="s">
        <v>1210</v>
      </c>
      <c r="Y175" s="1" t="s">
        <v>1210</v>
      </c>
      <c r="Z175" s="1" t="s">
        <v>1210</v>
      </c>
    </row>
    <row r="176" spans="1:26">
      <c r="A176" s="1" t="s">
        <v>1147</v>
      </c>
      <c r="B176" s="1">
        <v>135.36430833333301</v>
      </c>
      <c r="C176" s="1">
        <v>159.68833333333299</v>
      </c>
      <c r="D176" s="1">
        <v>166.134166666667</v>
      </c>
      <c r="E176" s="1">
        <v>181.76919333333299</v>
      </c>
      <c r="F176" s="1">
        <v>222.65608583333301</v>
      </c>
      <c r="G176" s="1">
        <v>242.74883500000001</v>
      </c>
      <c r="H176" s="1">
        <v>240.24821499999999</v>
      </c>
      <c r="I176" s="1">
        <v>207.11371569658101</v>
      </c>
      <c r="J176" s="1">
        <v>192.38112433333299</v>
      </c>
      <c r="K176" s="1">
        <v>192.705468</v>
      </c>
      <c r="L176" s="1">
        <v>191.02825783333299</v>
      </c>
      <c r="M176" s="1" t="s">
        <v>1210</v>
      </c>
      <c r="N176" s="1" t="s">
        <v>1210</v>
      </c>
      <c r="O176" s="1" t="s">
        <v>1210</v>
      </c>
      <c r="P176" s="1" t="s">
        <v>1210</v>
      </c>
      <c r="Q176" s="1" t="s">
        <v>1210</v>
      </c>
      <c r="R176" s="1" t="s">
        <v>1210</v>
      </c>
      <c r="S176" s="1" t="s">
        <v>1210</v>
      </c>
      <c r="T176" s="1" t="s">
        <v>1210</v>
      </c>
      <c r="U176" s="1" t="s">
        <v>1210</v>
      </c>
      <c r="V176" s="1" t="s">
        <v>1210</v>
      </c>
      <c r="W176" s="1" t="s">
        <v>1210</v>
      </c>
      <c r="X176" s="1" t="s">
        <v>1210</v>
      </c>
      <c r="Y176" s="1" t="s">
        <v>1210</v>
      </c>
      <c r="Z176" s="1" t="s">
        <v>1210</v>
      </c>
    </row>
    <row r="177" spans="1:26">
      <c r="A177" s="1" t="s">
        <v>1148</v>
      </c>
      <c r="B177" s="1">
        <v>3.56635833333333</v>
      </c>
      <c r="C177" s="1">
        <v>3.7169416666666701</v>
      </c>
      <c r="D177" s="1">
        <v>4.8156491666666703</v>
      </c>
      <c r="E177" s="1">
        <v>4.8381416666666697</v>
      </c>
      <c r="F177" s="1">
        <v>5.0889308333333299</v>
      </c>
      <c r="G177" s="1">
        <v>5.2779849531703702</v>
      </c>
      <c r="H177" s="1">
        <v>6.7487721028988696</v>
      </c>
      <c r="I177" s="1">
        <v>7.50594374859842</v>
      </c>
      <c r="J177" s="1">
        <v>7.48474390550839</v>
      </c>
      <c r="K177" s="1">
        <v>7.5298730248359602</v>
      </c>
      <c r="L177" s="1">
        <v>7.6094583333333299</v>
      </c>
      <c r="M177" s="1">
        <v>7.6520000000000001</v>
      </c>
      <c r="N177" s="1">
        <v>7.7479166666666703</v>
      </c>
      <c r="O177" s="1">
        <v>8.0550416666666695</v>
      </c>
      <c r="P177" s="1">
        <v>8.06450134408602</v>
      </c>
      <c r="Q177" s="1">
        <v>7.64125903009875</v>
      </c>
      <c r="R177" s="1">
        <v>7.3552028471520297</v>
      </c>
      <c r="S177" s="1">
        <v>7.3021351000420598</v>
      </c>
      <c r="T177" s="1">
        <v>7.3753453536421096</v>
      </c>
      <c r="U177" s="1">
        <v>7.9146889773578799</v>
      </c>
      <c r="V177" s="1">
        <v>7.9481529377886702</v>
      </c>
      <c r="W177" s="1">
        <v>7.8873903690918299</v>
      </c>
      <c r="X177" s="1">
        <v>7.9525048613100298</v>
      </c>
      <c r="Y177" s="1">
        <v>8.1733992977783902</v>
      </c>
      <c r="Z177" s="1">
        <v>8.2134129096726092</v>
      </c>
    </row>
    <row r="178" spans="1:26">
      <c r="A178" s="1" t="s">
        <v>391</v>
      </c>
      <c r="B178" s="1" t="s">
        <v>1210</v>
      </c>
      <c r="C178" s="1" t="s">
        <v>1210</v>
      </c>
      <c r="D178" s="1" t="s">
        <v>1210</v>
      </c>
      <c r="E178" s="1" t="s">
        <v>1210</v>
      </c>
      <c r="F178" s="1" t="s">
        <v>1210</v>
      </c>
      <c r="G178" s="1" t="s">
        <v>1210</v>
      </c>
      <c r="H178" s="1" t="s">
        <v>1210</v>
      </c>
      <c r="I178" s="1" t="s">
        <v>1210</v>
      </c>
      <c r="J178" s="1" t="s">
        <v>1210</v>
      </c>
      <c r="K178" s="1" t="s">
        <v>1210</v>
      </c>
      <c r="L178" s="1" t="s">
        <v>1210</v>
      </c>
      <c r="M178" s="1" t="s">
        <v>1210</v>
      </c>
      <c r="N178" s="1" t="s">
        <v>1210</v>
      </c>
      <c r="O178" s="1">
        <v>31558.9054783951</v>
      </c>
      <c r="P178" s="1">
        <v>31269.662571225101</v>
      </c>
      <c r="Q178" s="1">
        <v>29966.835440408398</v>
      </c>
      <c r="R178" s="1">
        <v>22516.000296771101</v>
      </c>
      <c r="S178" s="1">
        <v>19283.799950452099</v>
      </c>
      <c r="T178" s="1">
        <v>20230.929131054101</v>
      </c>
      <c r="U178" s="1">
        <v>22254.2356837607</v>
      </c>
      <c r="V178" s="1">
        <v>23061.784313865101</v>
      </c>
      <c r="W178" s="1">
        <v>23097.9873219373</v>
      </c>
      <c r="X178" s="1" t="s">
        <v>1210</v>
      </c>
      <c r="Y178" s="1" t="s">
        <v>1210</v>
      </c>
      <c r="Z178" s="1" t="s">
        <v>1210</v>
      </c>
    </row>
    <row r="179" spans="1:26">
      <c r="A179" s="1" t="s">
        <v>1094</v>
      </c>
      <c r="B179" s="1">
        <v>4.2993491666666701</v>
      </c>
      <c r="C179" s="1">
        <v>4.6079616666666698</v>
      </c>
      <c r="D179" s="1">
        <v>5.52828416666667</v>
      </c>
      <c r="E179" s="1">
        <v>6.1094841666666699</v>
      </c>
      <c r="F179" s="1">
        <v>6.9398283333333302</v>
      </c>
      <c r="G179" s="1">
        <v>8.6091808333333297</v>
      </c>
      <c r="H179" s="1">
        <v>10.540746666666699</v>
      </c>
      <c r="I179" s="1">
        <v>7.5647491666666697</v>
      </c>
      <c r="J179" s="1">
        <v>6.4596925000000001</v>
      </c>
      <c r="K179" s="1">
        <v>6.3593283333333304</v>
      </c>
      <c r="L179" s="1">
        <v>6.7715491666666701</v>
      </c>
      <c r="M179" s="1">
        <v>7.0453650000000003</v>
      </c>
      <c r="N179" s="1">
        <v>8.26122333333333</v>
      </c>
      <c r="O179" s="1">
        <v>8.4736741582488797</v>
      </c>
      <c r="P179" s="1">
        <v>7.3212219611528804</v>
      </c>
      <c r="Q179" s="1">
        <v>7.2611321323273499</v>
      </c>
      <c r="R179" s="1">
        <v>8.2099686265933105</v>
      </c>
      <c r="S179" s="1">
        <v>9.6550560691352594</v>
      </c>
      <c r="T179" s="1">
        <v>10.852655568783099</v>
      </c>
      <c r="U179" s="1">
        <v>12.7589308811644</v>
      </c>
      <c r="V179" s="1">
        <v>14.7096108855267</v>
      </c>
      <c r="W179" s="1">
        <v>13.3238014244992</v>
      </c>
      <c r="X179" s="1">
        <v>13.233926471583301</v>
      </c>
      <c r="Y179" s="1">
        <v>14.448427054833299</v>
      </c>
      <c r="Z179" s="1">
        <v>16.459105390333299</v>
      </c>
    </row>
    <row r="180" spans="1:26">
      <c r="A180" s="1" t="s">
        <v>412</v>
      </c>
      <c r="B180" s="1" t="s">
        <v>1210</v>
      </c>
      <c r="C180" s="1" t="s">
        <v>1210</v>
      </c>
      <c r="D180" s="1" t="s">
        <v>1210</v>
      </c>
      <c r="E180" s="1" t="s">
        <v>1210</v>
      </c>
      <c r="F180" s="1" t="s">
        <v>1210</v>
      </c>
      <c r="G180" s="1" t="s">
        <v>1210</v>
      </c>
      <c r="H180" s="1" t="s">
        <v>1210</v>
      </c>
      <c r="I180" s="1" t="s">
        <v>1210</v>
      </c>
      <c r="J180" s="1" t="s">
        <v>1210</v>
      </c>
      <c r="K180" s="1" t="s">
        <v>1210</v>
      </c>
      <c r="L180" s="1" t="s">
        <v>1210</v>
      </c>
      <c r="M180" s="1" t="s">
        <v>1210</v>
      </c>
      <c r="N180" s="1" t="s">
        <v>1210</v>
      </c>
      <c r="O180" s="1" t="s">
        <v>1210</v>
      </c>
      <c r="P180" s="1" t="s">
        <v>1210</v>
      </c>
      <c r="Q180" s="1">
        <v>2.98895</v>
      </c>
      <c r="R180" s="1">
        <v>2.95</v>
      </c>
      <c r="S180" s="1">
        <v>2.95</v>
      </c>
      <c r="T180" s="1">
        <v>2.95</v>
      </c>
      <c r="U180" s="1">
        <v>3.6041666666666701</v>
      </c>
      <c r="V180" s="1">
        <v>46.7291666666667</v>
      </c>
      <c r="W180" s="1">
        <v>113.64749999999999</v>
      </c>
      <c r="X180" s="1">
        <v>141.38583333333301</v>
      </c>
      <c r="Y180" s="1">
        <v>157.99916666666701</v>
      </c>
      <c r="Z180" s="1">
        <v>165.90731666666699</v>
      </c>
    </row>
    <row r="181" spans="1:26">
      <c r="A181" s="1" t="s">
        <v>1149</v>
      </c>
      <c r="B181" s="1">
        <v>126.661583333333</v>
      </c>
      <c r="C181" s="1">
        <v>146.41362833333301</v>
      </c>
      <c r="D181" s="1">
        <v>149.395331666667</v>
      </c>
      <c r="E181" s="1" t="s">
        <v>1210</v>
      </c>
      <c r="F181" s="1" t="s">
        <v>1210</v>
      </c>
      <c r="G181" s="1" t="s">
        <v>1210</v>
      </c>
      <c r="H181" s="1" t="s">
        <v>1210</v>
      </c>
      <c r="I181" s="1" t="s">
        <v>1210</v>
      </c>
      <c r="J181" s="1" t="s">
        <v>1210</v>
      </c>
      <c r="K181" s="1" t="s">
        <v>1210</v>
      </c>
      <c r="L181" s="1" t="s">
        <v>1210</v>
      </c>
      <c r="M181" s="1" t="s">
        <v>1210</v>
      </c>
      <c r="N181" s="1" t="s">
        <v>1210</v>
      </c>
      <c r="O181" s="1" t="s">
        <v>1210</v>
      </c>
      <c r="P181" s="1" t="s">
        <v>1210</v>
      </c>
      <c r="Q181" s="1" t="s">
        <v>1210</v>
      </c>
      <c r="R181" s="1" t="s">
        <v>1210</v>
      </c>
      <c r="S181" s="1" t="s">
        <v>1210</v>
      </c>
      <c r="T181" s="1" t="s">
        <v>1210</v>
      </c>
      <c r="U181" s="1" t="s">
        <v>1210</v>
      </c>
      <c r="V181" s="1" t="s">
        <v>1210</v>
      </c>
      <c r="W181" s="1" t="s">
        <v>1210</v>
      </c>
      <c r="X181" s="1" t="s">
        <v>1210</v>
      </c>
      <c r="Y181" s="1" t="s">
        <v>1210</v>
      </c>
      <c r="Z181" s="1" t="s">
        <v>1210</v>
      </c>
    </row>
    <row r="182" spans="1:26">
      <c r="A182" s="1" t="s">
        <v>1096</v>
      </c>
      <c r="B182" s="1">
        <v>55.271444166666697</v>
      </c>
      <c r="C182" s="1">
        <v>58.994605</v>
      </c>
      <c r="D182" s="1">
        <v>64.450118333333293</v>
      </c>
      <c r="E182" s="1">
        <v>70.635450000000006</v>
      </c>
      <c r="F182" s="1">
        <v>77.005116666666694</v>
      </c>
      <c r="G182" s="1">
        <v>89.383013333333295</v>
      </c>
      <c r="H182" s="1">
        <v>95.662064999999998</v>
      </c>
      <c r="I182" s="1">
        <v>96.520950833333302</v>
      </c>
      <c r="J182" s="1">
        <v>101.1944575</v>
      </c>
      <c r="K182" s="1">
        <v>100.498051666667</v>
      </c>
      <c r="L182" s="1">
        <v>103.914445833333</v>
      </c>
      <c r="M182" s="1">
        <v>110.623233333333</v>
      </c>
      <c r="N182" s="1">
        <v>108.33376271929799</v>
      </c>
      <c r="O182" s="1">
        <v>114.94478333333301</v>
      </c>
      <c r="P182" s="1">
        <v>113.064480448821</v>
      </c>
      <c r="Q182" s="1">
        <v>110.565207851396</v>
      </c>
      <c r="R182" s="1">
        <v>127.60335350681</v>
      </c>
      <c r="S182" s="1">
        <v>129.06903093288801</v>
      </c>
      <c r="T182" s="1">
        <v>130.564685218829</v>
      </c>
      <c r="U182" s="1">
        <v>135.856912797089</v>
      </c>
      <c r="V182" s="1">
        <v>145.58166749202601</v>
      </c>
      <c r="W182" s="1">
        <v>152.446413948767</v>
      </c>
      <c r="X182" s="1">
        <v>162.46485873677801</v>
      </c>
      <c r="Y182" s="1">
        <v>178.74492504584799</v>
      </c>
      <c r="Z182" s="1">
        <v>185.59255777221301</v>
      </c>
    </row>
    <row r="183" spans="1:26">
      <c r="A183" s="1" t="s">
        <v>1150</v>
      </c>
      <c r="B183" s="1">
        <v>2.7</v>
      </c>
      <c r="C183" s="1">
        <v>2.7</v>
      </c>
      <c r="D183" s="1">
        <v>2.7</v>
      </c>
      <c r="E183" s="1">
        <v>2.7</v>
      </c>
      <c r="F183" s="1">
        <v>2.7</v>
      </c>
      <c r="G183" s="1">
        <v>2.7</v>
      </c>
      <c r="H183" s="1">
        <v>2.7</v>
      </c>
      <c r="I183" s="1">
        <v>2.7</v>
      </c>
      <c r="J183" s="1">
        <v>2.7</v>
      </c>
      <c r="K183" s="1">
        <v>2.7</v>
      </c>
      <c r="L183" s="1">
        <v>2.7</v>
      </c>
      <c r="M183" s="1">
        <v>2.7</v>
      </c>
      <c r="N183" s="1">
        <v>2.7</v>
      </c>
      <c r="O183" s="1">
        <v>2.7</v>
      </c>
      <c r="P183" s="1">
        <v>2.7</v>
      </c>
      <c r="Q183" s="1">
        <v>2.7</v>
      </c>
      <c r="R183" s="1">
        <v>2.7</v>
      </c>
      <c r="S183" s="1">
        <v>2.7</v>
      </c>
      <c r="T183" s="1">
        <v>2.7</v>
      </c>
      <c r="U183" s="1">
        <v>2.7</v>
      </c>
      <c r="V183" s="1">
        <v>2.7</v>
      </c>
      <c r="W183" s="1">
        <v>2.7</v>
      </c>
      <c r="X183" s="1">
        <v>2.7</v>
      </c>
      <c r="Y183" s="1">
        <v>2.7</v>
      </c>
      <c r="Z183" s="1">
        <v>2.7</v>
      </c>
    </row>
    <row r="184" spans="1:26">
      <c r="A184" s="1" t="s">
        <v>1151</v>
      </c>
      <c r="B184" s="1">
        <v>2.7</v>
      </c>
      <c r="C184" s="1">
        <v>2.7</v>
      </c>
      <c r="D184" s="1">
        <v>2.7</v>
      </c>
      <c r="E184" s="1">
        <v>2.7</v>
      </c>
      <c r="F184" s="1">
        <v>2.7</v>
      </c>
      <c r="G184" s="1">
        <v>2.7</v>
      </c>
      <c r="H184" s="1">
        <v>2.7</v>
      </c>
      <c r="I184" s="1">
        <v>2.7</v>
      </c>
      <c r="J184" s="1">
        <v>2.7</v>
      </c>
      <c r="K184" s="1">
        <v>2.7</v>
      </c>
      <c r="L184" s="1">
        <v>2.7</v>
      </c>
      <c r="M184" s="1">
        <v>2.7</v>
      </c>
      <c r="N184" s="1">
        <v>2.7</v>
      </c>
      <c r="O184" s="1">
        <v>2.7</v>
      </c>
      <c r="P184" s="1">
        <v>2.7</v>
      </c>
      <c r="Q184" s="1">
        <v>2.7</v>
      </c>
      <c r="R184" s="1">
        <v>2.7</v>
      </c>
      <c r="S184" s="1">
        <v>2.7</v>
      </c>
      <c r="T184" s="1">
        <v>2.7</v>
      </c>
      <c r="U184" s="1">
        <v>2.7</v>
      </c>
      <c r="V184" s="1">
        <v>2.7</v>
      </c>
      <c r="W184" s="1">
        <v>2.7</v>
      </c>
      <c r="X184" s="1">
        <v>2.7</v>
      </c>
      <c r="Y184" s="1">
        <v>2.7</v>
      </c>
      <c r="Z184" s="1">
        <v>2.7</v>
      </c>
    </row>
    <row r="185" spans="1:26">
      <c r="A185" s="1" t="s">
        <v>1213</v>
      </c>
      <c r="B185" s="1" t="s">
        <v>1210</v>
      </c>
      <c r="C185" s="1" t="s">
        <v>1210</v>
      </c>
      <c r="D185" s="1" t="s">
        <v>1210</v>
      </c>
      <c r="E185" s="1" t="s">
        <v>1210</v>
      </c>
      <c r="F185" s="1" t="s">
        <v>1210</v>
      </c>
      <c r="G185" s="1" t="s">
        <v>1210</v>
      </c>
      <c r="H185" s="1" t="s">
        <v>1210</v>
      </c>
      <c r="I185" s="1" t="s">
        <v>1210</v>
      </c>
      <c r="J185" s="1" t="s">
        <v>1210</v>
      </c>
      <c r="K185" s="1" t="s">
        <v>1210</v>
      </c>
      <c r="L185" s="1" t="s">
        <v>1210</v>
      </c>
      <c r="M185" s="1" t="s">
        <v>1210</v>
      </c>
      <c r="N185" s="1" t="s">
        <v>1210</v>
      </c>
      <c r="O185" s="1" t="s">
        <v>1210</v>
      </c>
      <c r="P185" s="1" t="s">
        <v>1210</v>
      </c>
      <c r="Q185" s="1" t="s">
        <v>1210</v>
      </c>
      <c r="R185" s="1" t="s">
        <v>1210</v>
      </c>
      <c r="S185" s="1" t="s">
        <v>1210</v>
      </c>
      <c r="T185" s="1" t="s">
        <v>1210</v>
      </c>
      <c r="U185" s="1" t="s">
        <v>1210</v>
      </c>
      <c r="V185" s="1" t="s">
        <v>1210</v>
      </c>
      <c r="W185" s="1" t="s">
        <v>1210</v>
      </c>
      <c r="X185" s="1" t="s">
        <v>1210</v>
      </c>
      <c r="Y185" s="1" t="s">
        <v>1210</v>
      </c>
      <c r="Z185" s="1" t="s">
        <v>1210</v>
      </c>
    </row>
    <row r="186" spans="1:26">
      <c r="A186" s="1" t="s">
        <v>1152</v>
      </c>
      <c r="B186" s="1">
        <v>2.7</v>
      </c>
      <c r="C186" s="1">
        <v>2.7</v>
      </c>
      <c r="D186" s="1">
        <v>2.7</v>
      </c>
      <c r="E186" s="1">
        <v>2.7</v>
      </c>
      <c r="F186" s="1">
        <v>2.7</v>
      </c>
      <c r="G186" s="1">
        <v>2.7</v>
      </c>
      <c r="H186" s="1">
        <v>2.7</v>
      </c>
      <c r="I186" s="1">
        <v>2.7</v>
      </c>
      <c r="J186" s="1">
        <v>2.7</v>
      </c>
      <c r="K186" s="1">
        <v>2.7</v>
      </c>
      <c r="L186" s="1">
        <v>2.7</v>
      </c>
      <c r="M186" s="1">
        <v>2.7</v>
      </c>
      <c r="N186" s="1">
        <v>2.7</v>
      </c>
      <c r="O186" s="1">
        <v>2.7</v>
      </c>
      <c r="P186" s="1">
        <v>2.7</v>
      </c>
      <c r="Q186" s="1">
        <v>2.7</v>
      </c>
      <c r="R186" s="1">
        <v>2.7</v>
      </c>
      <c r="S186" s="1">
        <v>2.7</v>
      </c>
      <c r="T186" s="1">
        <v>2.7</v>
      </c>
      <c r="U186" s="1">
        <v>2.7</v>
      </c>
      <c r="V186" s="1">
        <v>2.7</v>
      </c>
      <c r="W186" s="1">
        <v>2.7</v>
      </c>
      <c r="X186" s="1">
        <v>2.7</v>
      </c>
      <c r="Y186" s="1">
        <v>2.7</v>
      </c>
      <c r="Z186" s="1">
        <v>2.7</v>
      </c>
    </row>
    <row r="187" spans="1:26">
      <c r="A187" s="1" t="s">
        <v>1097</v>
      </c>
      <c r="B187" s="1">
        <v>1.2507916666666701</v>
      </c>
      <c r="C187" s="1">
        <v>1.5757425</v>
      </c>
      <c r="D187" s="1">
        <v>2.0080191666666698</v>
      </c>
      <c r="E187" s="1">
        <v>2.52550416666667</v>
      </c>
      <c r="F187" s="1">
        <v>2.5712250000000001</v>
      </c>
      <c r="G187" s="1">
        <v>2.5870210416666701</v>
      </c>
      <c r="H187" s="1">
        <v>2.6330583333333299</v>
      </c>
      <c r="I187" s="1">
        <v>2.60983433333333</v>
      </c>
      <c r="J187" s="1">
        <v>2.5790500000000001</v>
      </c>
      <c r="K187" s="1">
        <v>2.4360583333333299</v>
      </c>
      <c r="L187" s="1">
        <v>2.17153333333333</v>
      </c>
      <c r="M187" s="1">
        <v>2.0160999999999998</v>
      </c>
      <c r="N187" s="1">
        <v>2.0901628287698402</v>
      </c>
      <c r="O187" s="1">
        <v>2.3015333333333299</v>
      </c>
      <c r="P187" s="1">
        <v>2.30600092016667</v>
      </c>
      <c r="Q187" s="1">
        <v>2.6666196217746898</v>
      </c>
      <c r="R187" s="1">
        <v>3.5729583333333301</v>
      </c>
      <c r="S187" s="1">
        <v>4.7567605470882102</v>
      </c>
      <c r="T187" s="1">
        <v>5.7368666666666703</v>
      </c>
      <c r="U187" s="1">
        <v>6.0257325979166696</v>
      </c>
      <c r="V187" s="1">
        <v>6.2117136458333304</v>
      </c>
      <c r="W187" s="1">
        <v>6.6833600000000004</v>
      </c>
      <c r="X187" s="1">
        <v>24.3289109018116</v>
      </c>
      <c r="Y187" s="1">
        <v>45.767045454545503</v>
      </c>
      <c r="Z187" s="1">
        <v>53.9960119047619</v>
      </c>
    </row>
    <row r="188" spans="1:26">
      <c r="A188" s="1" t="s">
        <v>1153</v>
      </c>
      <c r="B188" s="1">
        <v>0.40101835370904798</v>
      </c>
      <c r="C188" s="1">
        <v>0.401566152294698</v>
      </c>
      <c r="D188" s="1">
        <v>0.40160642570281102</v>
      </c>
      <c r="E188" s="1">
        <v>0.83408426422225102</v>
      </c>
      <c r="F188" s="1">
        <v>1.3224905154787401</v>
      </c>
      <c r="G188" s="1">
        <v>2.1781822542340898</v>
      </c>
      <c r="H188" s="1">
        <v>2.3467500000000001</v>
      </c>
      <c r="I188" s="1">
        <v>2.6013333333333302</v>
      </c>
      <c r="J188" s="1">
        <v>2.7335829756751999</v>
      </c>
      <c r="K188" s="1">
        <v>2.7316666654786901</v>
      </c>
      <c r="L188" s="1">
        <v>2.7437499999999999</v>
      </c>
      <c r="M188" s="1">
        <v>2.7450000000000001</v>
      </c>
      <c r="N188" s="1">
        <v>2.7450000000000001</v>
      </c>
      <c r="O188" s="1">
        <v>2.7450000000000001</v>
      </c>
      <c r="P188" s="1">
        <v>2.7454166666666699</v>
      </c>
      <c r="Q188" s="1">
        <v>3.2679999999999998</v>
      </c>
      <c r="R188" s="1">
        <v>3.3</v>
      </c>
      <c r="S188" s="1">
        <v>3.3</v>
      </c>
      <c r="T188" s="1">
        <v>3.3</v>
      </c>
      <c r="U188" s="1">
        <v>3.4166666666666701</v>
      </c>
      <c r="V188" s="1">
        <v>6.2286302784897902</v>
      </c>
      <c r="W188" s="1">
        <v>7.4876611249999998</v>
      </c>
      <c r="X188" s="1">
        <v>7.4625111984126997</v>
      </c>
      <c r="Y188" s="1">
        <v>7.4580000000000002</v>
      </c>
      <c r="Z188" s="1">
        <v>9.3095454545454608</v>
      </c>
    </row>
    <row r="189" spans="1:26">
      <c r="A189" s="1" t="s">
        <v>1154</v>
      </c>
      <c r="B189" s="1">
        <v>6.7059558333333298</v>
      </c>
      <c r="C189" s="1">
        <v>7.6348941666666699</v>
      </c>
      <c r="D189" s="1">
        <v>7.9498681666666702</v>
      </c>
      <c r="E189" s="1">
        <v>8.2624283333333306</v>
      </c>
      <c r="F189" s="1">
        <v>9.1622441666666692</v>
      </c>
      <c r="G189" s="1">
        <v>10.3291358333333</v>
      </c>
      <c r="H189" s="1">
        <v>9.7371233333333294</v>
      </c>
      <c r="I189" s="1">
        <v>8.08630416666667</v>
      </c>
      <c r="J189" s="1">
        <v>7.3488866666666697</v>
      </c>
      <c r="K189" s="1">
        <v>7.4730883333333296</v>
      </c>
      <c r="L189" s="1">
        <v>7.3782491666666701</v>
      </c>
      <c r="M189" s="1">
        <v>6.7587700000000002</v>
      </c>
      <c r="N189" s="1">
        <v>6.5910991666666696</v>
      </c>
      <c r="O189" s="1">
        <v>7.6538191666666702</v>
      </c>
      <c r="P189" s="1">
        <v>7.2075241666666701</v>
      </c>
      <c r="Q189" s="1">
        <v>6.4935433333333297</v>
      </c>
      <c r="R189" s="1">
        <v>6.7750158333333301</v>
      </c>
      <c r="S189" s="1">
        <v>6.51397166666667</v>
      </c>
      <c r="T189" s="1">
        <v>6.8607849999999999</v>
      </c>
      <c r="U189" s="1">
        <v>8.4348408333333307</v>
      </c>
      <c r="V189" s="1">
        <v>8.5619916666666693</v>
      </c>
      <c r="W189" s="1">
        <v>8.5488608333333307</v>
      </c>
      <c r="X189" s="1">
        <v>8.6925183333333305</v>
      </c>
      <c r="Y189" s="1">
        <v>9.4583491666666593</v>
      </c>
      <c r="Z189" s="1">
        <v>9.2103090284208502</v>
      </c>
    </row>
    <row r="190" spans="1:26">
      <c r="A190" s="1" t="s">
        <v>1155</v>
      </c>
      <c r="B190" s="1">
        <v>1.2360100000000001</v>
      </c>
      <c r="C190" s="1">
        <v>1.4513125</v>
      </c>
      <c r="D190" s="1">
        <v>1.44981330833333</v>
      </c>
      <c r="E190" s="1">
        <v>1.5021549999999999</v>
      </c>
      <c r="F190" s="1">
        <v>1.6888425</v>
      </c>
      <c r="G190" s="1">
        <v>1.6876150000000001</v>
      </c>
      <c r="H190" s="1">
        <v>1.5586074999999999</v>
      </c>
      <c r="I190" s="1">
        <v>1.34665083333333</v>
      </c>
      <c r="J190" s="1">
        <v>1.2434958333333299</v>
      </c>
      <c r="K190" s="1">
        <v>1.2451766666666699</v>
      </c>
      <c r="L190" s="1">
        <v>1.2538433333333301</v>
      </c>
      <c r="M190" s="1">
        <v>1.20036583333333</v>
      </c>
      <c r="N190" s="1">
        <v>1.0830900000000001</v>
      </c>
      <c r="O190" s="1">
        <v>1.08814169630268</v>
      </c>
      <c r="P190" s="1">
        <v>1.04290564573352</v>
      </c>
      <c r="Q190" s="1">
        <v>0.88804202822328104</v>
      </c>
      <c r="R190" s="1">
        <v>0.93768448070934896</v>
      </c>
      <c r="S190" s="1">
        <v>0.92690354775828498</v>
      </c>
      <c r="T190" s="1">
        <v>0.91615104728361296</v>
      </c>
      <c r="U190" s="1">
        <v>0.96238132800435405</v>
      </c>
      <c r="V190" s="1">
        <v>0.98539439424483399</v>
      </c>
      <c r="W190" s="1">
        <v>0.98469166666666696</v>
      </c>
      <c r="X190" s="1">
        <v>0.97789166666666705</v>
      </c>
      <c r="Y190" s="1">
        <v>0.99370916666666698</v>
      </c>
      <c r="Z190" s="1">
        <v>0.93896500000000005</v>
      </c>
    </row>
    <row r="191" spans="1:26">
      <c r="A191" s="1" t="s">
        <v>1203</v>
      </c>
      <c r="B191" s="1">
        <v>11.225</v>
      </c>
      <c r="C191" s="1">
        <v>11.225</v>
      </c>
      <c r="D191" s="1">
        <v>11.225</v>
      </c>
      <c r="E191" s="1">
        <v>11.225</v>
      </c>
      <c r="F191" s="1">
        <v>11.225</v>
      </c>
      <c r="G191" s="1">
        <v>11.225</v>
      </c>
      <c r="H191" s="1">
        <v>11.225</v>
      </c>
      <c r="I191" s="1">
        <v>11.225</v>
      </c>
      <c r="J191" s="1">
        <v>11.225</v>
      </c>
      <c r="K191" s="1">
        <v>11.225</v>
      </c>
      <c r="L191" s="1">
        <v>11.225</v>
      </c>
      <c r="M191" s="1">
        <v>11.225</v>
      </c>
      <c r="N191" s="1">
        <v>11.225</v>
      </c>
      <c r="O191" s="1">
        <v>11.225</v>
      </c>
      <c r="P191" s="1">
        <v>11.225</v>
      </c>
      <c r="Q191" s="1">
        <v>48.336666666666702</v>
      </c>
      <c r="R191" s="1">
        <v>64.580833333333302</v>
      </c>
      <c r="S191" s="1">
        <v>108.73333333333299</v>
      </c>
      <c r="T191" s="1">
        <v>154.13</v>
      </c>
      <c r="U191" s="1">
        <v>237.02916666666701</v>
      </c>
      <c r="V191" s="1">
        <v>460.27583333333303</v>
      </c>
      <c r="W191" s="1">
        <v>492.61083333333301</v>
      </c>
      <c r="X191" s="1" t="s">
        <v>1210</v>
      </c>
      <c r="Y191" s="1" t="s">
        <v>1210</v>
      </c>
      <c r="Z191" s="1" t="s">
        <v>1210</v>
      </c>
    </row>
    <row r="192" spans="1:26">
      <c r="A192" s="1" t="s">
        <v>1100</v>
      </c>
      <c r="B192" s="1">
        <v>0.29549999999999998</v>
      </c>
      <c r="C192" s="1">
        <v>0.56233333333333302</v>
      </c>
      <c r="D192" s="1">
        <v>0.77662500000000001</v>
      </c>
      <c r="E192" s="1">
        <v>1.23779166666667</v>
      </c>
      <c r="F192" s="1">
        <v>2.0762499999999999</v>
      </c>
      <c r="G192" s="1">
        <v>2.3721916666666698</v>
      </c>
      <c r="H192" s="1">
        <v>2.76413333333333</v>
      </c>
      <c r="I192" s="1">
        <v>3.0613666666666699</v>
      </c>
      <c r="J192" s="1">
        <v>2.97050833333333</v>
      </c>
      <c r="K192" s="1">
        <v>3.11656666666667</v>
      </c>
      <c r="L192" s="1">
        <v>3.2984083333333301</v>
      </c>
      <c r="M192" s="1">
        <v>3.44248333333333</v>
      </c>
      <c r="N192" s="1">
        <v>3.4307249999999998</v>
      </c>
      <c r="O192" s="1">
        <v>4.1427083333333297</v>
      </c>
      <c r="P192" s="1">
        <v>4.3789666666666696</v>
      </c>
      <c r="Q192" s="1">
        <v>4.61018333333333</v>
      </c>
      <c r="R192" s="1">
        <v>4.7377083333333303</v>
      </c>
      <c r="S192" s="1">
        <v>4.7642333333333298</v>
      </c>
      <c r="T192" s="1">
        <v>4.9375666666666698</v>
      </c>
      <c r="U192" s="1">
        <v>6.1631166666666699</v>
      </c>
      <c r="V192" s="1">
        <v>7.8356750000000002</v>
      </c>
      <c r="W192" s="1">
        <v>8.5497416666666695</v>
      </c>
      <c r="X192" s="1">
        <v>9.1512166666666701</v>
      </c>
      <c r="Y192" s="1">
        <v>9.5303666666666693</v>
      </c>
      <c r="Z192" s="1">
        <v>10.321941666666699</v>
      </c>
    </row>
    <row r="193" spans="1:26">
      <c r="A193" s="1" t="s">
        <v>1101</v>
      </c>
      <c r="B193" s="1">
        <v>579.97666666666703</v>
      </c>
      <c r="C193" s="1">
        <v>612.12249999999995</v>
      </c>
      <c r="D193" s="1">
        <v>664.67120833333297</v>
      </c>
      <c r="E193" s="1">
        <v>744.75907500000005</v>
      </c>
      <c r="F193" s="1">
        <v>800.40851666666697</v>
      </c>
      <c r="G193" s="1">
        <v>876.41166666666697</v>
      </c>
      <c r="H193" s="1">
        <v>966.58278425925903</v>
      </c>
      <c r="I193" s="1">
        <v>1038.4190065960399</v>
      </c>
      <c r="J193" s="1">
        <v>1089.33477148982</v>
      </c>
      <c r="K193" s="1">
        <v>1128.9341791619199</v>
      </c>
      <c r="L193" s="1">
        <v>1251.89997292515</v>
      </c>
      <c r="M193" s="1">
        <v>1245.0354640478299</v>
      </c>
      <c r="N193" s="1">
        <v>1196.3107092104599</v>
      </c>
      <c r="O193" s="1">
        <v>1320.3120607404101</v>
      </c>
      <c r="P193" s="1">
        <v>1395.625</v>
      </c>
      <c r="Q193" s="1">
        <v>1557.43333333333</v>
      </c>
      <c r="R193" s="1">
        <v>1571.6983333333301</v>
      </c>
      <c r="S193" s="1">
        <v>1597.5558333333299</v>
      </c>
      <c r="T193" s="1">
        <v>1653.2308333333301</v>
      </c>
      <c r="U193" s="1">
        <v>1991.39083333333</v>
      </c>
      <c r="V193" s="1">
        <v>2177.0866666666702</v>
      </c>
      <c r="W193" s="1">
        <v>2228.8566666666702</v>
      </c>
      <c r="X193" s="1">
        <v>2263.7816666666699</v>
      </c>
      <c r="Y193" s="1">
        <v>2288.2066666666701</v>
      </c>
      <c r="Z193" s="1">
        <v>2294.1461505050902</v>
      </c>
    </row>
    <row r="194" spans="1:26">
      <c r="A194" s="1" t="s">
        <v>252</v>
      </c>
      <c r="B194" s="1">
        <v>25.342682860966502</v>
      </c>
      <c r="C194" s="1">
        <v>31.364334454295399</v>
      </c>
      <c r="D194" s="1">
        <v>41.359387499999997</v>
      </c>
      <c r="E194" s="1">
        <v>37.8136558333333</v>
      </c>
      <c r="F194" s="1">
        <v>40.111803333333299</v>
      </c>
      <c r="G194" s="1">
        <v>44.431899999999999</v>
      </c>
      <c r="H194" s="1">
        <v>42.960083333333301</v>
      </c>
      <c r="I194" s="1">
        <v>41.484616666666703</v>
      </c>
      <c r="J194" s="1">
        <v>40.2224149175021</v>
      </c>
      <c r="K194" s="1">
        <v>40.220130208333302</v>
      </c>
      <c r="L194" s="1">
        <v>37.881983221536302</v>
      </c>
      <c r="M194" s="1">
        <v>34.518180591701302</v>
      </c>
      <c r="N194" s="1">
        <v>33.313300641233802</v>
      </c>
      <c r="O194" s="1">
        <v>34.285774123424098</v>
      </c>
      <c r="P194" s="1">
        <v>31.685704999999999</v>
      </c>
      <c r="Q194" s="1">
        <v>30.4917333333333</v>
      </c>
      <c r="R194" s="1">
        <v>31.0830916666667</v>
      </c>
      <c r="S194" s="1">
        <v>30.7259666666667</v>
      </c>
      <c r="T194" s="1">
        <v>32.479833333333303</v>
      </c>
      <c r="U194" s="1">
        <v>34.247716666666697</v>
      </c>
      <c r="V194" s="1">
        <v>35.296383333333303</v>
      </c>
      <c r="W194" s="1">
        <v>33.939811056685798</v>
      </c>
      <c r="X194" s="1">
        <v>32.3102257431458</v>
      </c>
      <c r="Y194" s="1">
        <v>31.047605780549901</v>
      </c>
      <c r="Z194" s="1">
        <v>31.293673213083199</v>
      </c>
    </row>
    <row r="195" spans="1:26">
      <c r="A195" s="1" t="s">
        <v>1156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</row>
    <row r="196" spans="1:26">
      <c r="A196" s="1" t="s">
        <v>1104</v>
      </c>
      <c r="B196" s="1">
        <v>511.55243027251601</v>
      </c>
      <c r="C196" s="1">
        <v>583.66937235339606</v>
      </c>
      <c r="D196" s="1">
        <v>589.951774567332</v>
      </c>
      <c r="E196" s="1">
        <v>615.47334931916396</v>
      </c>
      <c r="F196" s="1">
        <v>710.20797703136702</v>
      </c>
      <c r="G196" s="1">
        <v>732.39769326022804</v>
      </c>
      <c r="H196" s="1">
        <v>693.71322649637398</v>
      </c>
      <c r="I196" s="1">
        <v>579.897426172466</v>
      </c>
      <c r="J196" s="1">
        <v>527.33803229157604</v>
      </c>
      <c r="K196" s="1">
        <v>527.25836264962595</v>
      </c>
      <c r="L196" s="1">
        <v>522.42562489517604</v>
      </c>
      <c r="M196" s="1">
        <v>478.63371847636301</v>
      </c>
      <c r="N196" s="1">
        <v>446.00004143278801</v>
      </c>
      <c r="O196" s="1">
        <v>470.29342334139801</v>
      </c>
      <c r="P196" s="1">
        <v>494.794262222947</v>
      </c>
      <c r="Q196" s="1">
        <v>471.24862571893698</v>
      </c>
      <c r="R196" s="1">
        <v>510.55633845425098</v>
      </c>
      <c r="S196" s="1">
        <v>493.89962385223703</v>
      </c>
      <c r="T196" s="1">
        <v>493.757329875312</v>
      </c>
      <c r="U196" s="1">
        <v>591.21169798260996</v>
      </c>
      <c r="V196" s="1">
        <v>592.60561506302201</v>
      </c>
      <c r="W196" s="1">
        <v>580.65674958785803</v>
      </c>
      <c r="X196" s="1">
        <v>555.44645839822601</v>
      </c>
      <c r="Y196" s="1">
        <v>585.91101318036897</v>
      </c>
      <c r="Z196" s="1">
        <v>575.58600451094503</v>
      </c>
    </row>
    <row r="197" spans="1:26">
      <c r="A197" s="1" t="s">
        <v>1157</v>
      </c>
      <c r="B197" s="1">
        <v>1.2319743991993299</v>
      </c>
      <c r="C197" s="1">
        <v>1.26351842815085</v>
      </c>
      <c r="D197" s="1">
        <v>1.4920553704766999</v>
      </c>
      <c r="E197" s="1">
        <v>1.5991323724217399</v>
      </c>
      <c r="F197" s="1">
        <v>1.75850260417167</v>
      </c>
      <c r="G197" s="1">
        <v>2.1235741689248901</v>
      </c>
      <c r="H197" s="1">
        <v>2.1951873352873799</v>
      </c>
      <c r="I197" s="1">
        <v>2.1458922520015999</v>
      </c>
      <c r="J197" s="1">
        <v>1.9715627931326101</v>
      </c>
      <c r="K197" s="1">
        <v>1.9430362169364801</v>
      </c>
      <c r="L197" s="1">
        <v>2.0258807949091402</v>
      </c>
      <c r="M197" s="1">
        <v>1.97093365696189</v>
      </c>
      <c r="N197" s="1">
        <v>1.9424442568685301</v>
      </c>
      <c r="O197" s="1">
        <v>2.0344936132287899</v>
      </c>
      <c r="P197" s="1">
        <v>1.9059878423835299</v>
      </c>
      <c r="Q197" s="1">
        <v>1.7289507097783201</v>
      </c>
      <c r="R197" s="1">
        <v>1.7195070158616499</v>
      </c>
      <c r="S197" s="1">
        <v>1.77371311869907</v>
      </c>
      <c r="T197" s="1">
        <v>1.8467736845354601</v>
      </c>
      <c r="U197" s="1">
        <v>2.1057632574496701</v>
      </c>
      <c r="V197" s="1">
        <v>2.2156611042252798</v>
      </c>
      <c r="W197" s="1">
        <v>2.2059726971783999</v>
      </c>
      <c r="X197" s="1">
        <v>2.2365714759422302</v>
      </c>
      <c r="Y197" s="1">
        <v>2.28948563032632</v>
      </c>
      <c r="Z197" s="1">
        <v>2.2995615078788898</v>
      </c>
    </row>
    <row r="198" spans="1:26">
      <c r="A198" s="1" t="s">
        <v>1158</v>
      </c>
      <c r="B198" s="1">
        <v>6.0050658333333304</v>
      </c>
      <c r="C198" s="1">
        <v>6.2516783333333299</v>
      </c>
      <c r="D198" s="1">
        <v>6.2983074999999999</v>
      </c>
      <c r="E198" s="1">
        <v>6.2988999999999997</v>
      </c>
      <c r="F198" s="1">
        <v>6.29979666666667</v>
      </c>
      <c r="G198" s="1">
        <v>6.23321666666667</v>
      </c>
      <c r="H198" s="1">
        <v>6.2486833333333296</v>
      </c>
      <c r="I198" s="1">
        <v>6.2950999999999997</v>
      </c>
      <c r="J198" s="1">
        <v>6.2989916666666703</v>
      </c>
      <c r="K198" s="1">
        <v>6.29955833333333</v>
      </c>
      <c r="L198" s="1">
        <v>6.3122833333333297</v>
      </c>
      <c r="M198" s="1">
        <v>6.3280333333333303</v>
      </c>
      <c r="N198" s="1">
        <v>6.2894333333333297</v>
      </c>
      <c r="O198" s="1">
        <v>6.3249083333333296</v>
      </c>
      <c r="P198" s="1">
        <v>6.3755083333333298</v>
      </c>
      <c r="Q198" s="1">
        <v>6.40930070568578</v>
      </c>
      <c r="R198" s="1">
        <v>6.4296026559454198</v>
      </c>
      <c r="S198" s="1">
        <v>6.4426293976465896</v>
      </c>
      <c r="T198" s="1">
        <v>6.4090945782979301</v>
      </c>
      <c r="U198" s="1">
        <v>6.3774416666666696</v>
      </c>
      <c r="V198" s="1">
        <v>6.6689666666666696</v>
      </c>
      <c r="W198" s="1">
        <v>6.7795249999999996</v>
      </c>
      <c r="X198" s="1">
        <v>6.7707508982460602</v>
      </c>
      <c r="Y198" s="1">
        <v>6.7543266828631996</v>
      </c>
      <c r="Z198" s="1">
        <v>6.7510526871150498</v>
      </c>
    </row>
    <row r="199" spans="1:26">
      <c r="A199" s="1" t="s">
        <v>583</v>
      </c>
      <c r="B199" s="1">
        <v>0.97340833333333299</v>
      </c>
      <c r="C199" s="1">
        <v>1.1059083333333299</v>
      </c>
      <c r="D199" s="1">
        <v>1.138725</v>
      </c>
      <c r="E199" s="1">
        <v>1.1862250000000001</v>
      </c>
      <c r="F199" s="1">
        <v>1.3706833333333299</v>
      </c>
      <c r="G199" s="1">
        <v>1.4387125000000001</v>
      </c>
      <c r="H199" s="1">
        <v>1.42173333333333</v>
      </c>
      <c r="I199" s="1">
        <v>1.2884583333333299</v>
      </c>
      <c r="J199" s="1">
        <v>1.2454666666666701</v>
      </c>
      <c r="K199" s="1">
        <v>1.2974333333333301</v>
      </c>
      <c r="L199" s="1">
        <v>1.3310249999999999</v>
      </c>
      <c r="M199" s="1">
        <v>1.28135833333333</v>
      </c>
      <c r="N199" s="1">
        <v>1.23214166666667</v>
      </c>
      <c r="O199" s="1">
        <v>1.3502749999999999</v>
      </c>
      <c r="P199" s="1">
        <v>1.4314</v>
      </c>
      <c r="Q199" s="1">
        <v>1.4077833333333301</v>
      </c>
      <c r="R199" s="1">
        <v>1.56189166666667</v>
      </c>
      <c r="S199" s="1">
        <v>1.62465833333333</v>
      </c>
      <c r="T199" s="1">
        <v>1.697675</v>
      </c>
      <c r="U199" s="1">
        <v>1.961625</v>
      </c>
      <c r="V199" s="1">
        <v>2.1480333333333301</v>
      </c>
      <c r="W199" s="1">
        <v>2.4194249999999999</v>
      </c>
      <c r="X199" s="1">
        <v>2.64686666666667</v>
      </c>
      <c r="Y199" s="1">
        <v>2.9344333333333301</v>
      </c>
      <c r="Z199" s="1">
        <v>2.81235833333333</v>
      </c>
    </row>
    <row r="200" spans="1:26">
      <c r="A200" s="1" t="s">
        <v>455</v>
      </c>
      <c r="B200" s="1">
        <v>8.1404891666666701E-2</v>
      </c>
      <c r="C200" s="1">
        <v>0.151865</v>
      </c>
      <c r="D200" s="1">
        <v>0.26072424999999999</v>
      </c>
      <c r="E200" s="1">
        <v>0.418782916666667</v>
      </c>
      <c r="F200" s="1">
        <v>0.62521850000000001</v>
      </c>
      <c r="G200" s="1">
        <v>1.2255880833333299</v>
      </c>
      <c r="H200" s="1">
        <v>1.50722641666667</v>
      </c>
      <c r="I200" s="1">
        <v>1.50088520858333</v>
      </c>
      <c r="J200" s="1">
        <v>1.4255372500000001</v>
      </c>
      <c r="K200" s="1">
        <v>1.3435831083333301</v>
      </c>
      <c r="L200" s="1">
        <v>1.4284534133384501</v>
      </c>
      <c r="M200" s="1">
        <v>1.3029309053379401</v>
      </c>
      <c r="N200" s="1">
        <v>1.30152170281795</v>
      </c>
      <c r="O200" s="1">
        <v>1.54995977566564</v>
      </c>
      <c r="P200" s="1">
        <v>1.5028486296723</v>
      </c>
      <c r="Q200" s="1">
        <v>1.67495455197133</v>
      </c>
      <c r="R200" s="1">
        <v>1.7960009444135501</v>
      </c>
      <c r="S200" s="1">
        <v>1.90376824244752</v>
      </c>
      <c r="T200" s="1">
        <v>2.1885424177547299</v>
      </c>
      <c r="U200" s="1">
        <v>2.7200085279057902</v>
      </c>
      <c r="V200" s="1">
        <v>3.0201347480804301</v>
      </c>
      <c r="W200" s="1">
        <v>3.6481326353686598</v>
      </c>
      <c r="X200" s="1">
        <v>4.8283701472094203</v>
      </c>
      <c r="Y200" s="1">
        <v>5.67381930843574</v>
      </c>
      <c r="Z200" s="1">
        <v>7.0086054155852198</v>
      </c>
    </row>
    <row r="201" spans="1:26">
      <c r="A201" s="1" t="s">
        <v>1108</v>
      </c>
      <c r="B201" s="1">
        <v>3257.6666666666702</v>
      </c>
      <c r="C201" s="1">
        <v>4143.4166666666697</v>
      </c>
      <c r="D201" s="1">
        <v>4890.1666666666697</v>
      </c>
      <c r="E201" s="1">
        <v>5200</v>
      </c>
      <c r="F201" s="1">
        <v>5200</v>
      </c>
      <c r="G201" s="1">
        <v>5200</v>
      </c>
      <c r="H201" s="1" t="s">
        <v>1210</v>
      </c>
      <c r="I201" s="1" t="s">
        <v>1210</v>
      </c>
      <c r="J201" s="1" t="s">
        <v>1210</v>
      </c>
      <c r="K201" s="1" t="s">
        <v>1210</v>
      </c>
      <c r="L201" s="1" t="s">
        <v>1210</v>
      </c>
      <c r="M201" s="1" t="s">
        <v>1210</v>
      </c>
      <c r="N201" s="1" t="s">
        <v>1210</v>
      </c>
      <c r="O201" s="1" t="s">
        <v>1210</v>
      </c>
      <c r="P201" s="1" t="s">
        <v>1210</v>
      </c>
      <c r="Q201" s="1" t="s">
        <v>1210</v>
      </c>
      <c r="R201" s="1" t="s">
        <v>1210</v>
      </c>
      <c r="S201" s="1" t="s">
        <v>1210</v>
      </c>
      <c r="T201" s="1" t="s">
        <v>1210</v>
      </c>
      <c r="U201" s="1" t="s">
        <v>1210</v>
      </c>
      <c r="V201" s="1" t="s">
        <v>1210</v>
      </c>
      <c r="W201" s="1" t="s">
        <v>1210</v>
      </c>
      <c r="X201" s="1" t="s">
        <v>1210</v>
      </c>
      <c r="Y201" s="1" t="s">
        <v>1210</v>
      </c>
      <c r="Z201" s="1" t="s">
        <v>1210</v>
      </c>
    </row>
    <row r="202" spans="1:26">
      <c r="A202" s="1" t="s">
        <v>1204</v>
      </c>
      <c r="B202" s="1" t="s">
        <v>1210</v>
      </c>
      <c r="C202" s="1" t="s">
        <v>1210</v>
      </c>
      <c r="D202" s="1" t="s">
        <v>1210</v>
      </c>
      <c r="E202" s="1" t="s">
        <v>1210</v>
      </c>
      <c r="F202" s="1" t="s">
        <v>1210</v>
      </c>
      <c r="G202" s="1" t="s">
        <v>1210</v>
      </c>
      <c r="H202" s="1" t="s">
        <v>1210</v>
      </c>
      <c r="I202" s="1" t="s">
        <v>1210</v>
      </c>
      <c r="J202" s="1" t="s">
        <v>1210</v>
      </c>
      <c r="K202" s="1" t="s">
        <v>1210</v>
      </c>
      <c r="L202" s="1" t="s">
        <v>1210</v>
      </c>
      <c r="M202" s="1" t="s">
        <v>1210</v>
      </c>
      <c r="N202" s="1" t="s">
        <v>1210</v>
      </c>
      <c r="O202" s="1" t="s">
        <v>1210</v>
      </c>
      <c r="P202" s="1" t="s">
        <v>1210</v>
      </c>
      <c r="Q202" s="1" t="s">
        <v>1210</v>
      </c>
      <c r="R202" s="1" t="s">
        <v>1210</v>
      </c>
      <c r="S202" s="1" t="s">
        <v>1210</v>
      </c>
      <c r="T202" s="1" t="s">
        <v>1210</v>
      </c>
      <c r="U202" s="1" t="s">
        <v>1210</v>
      </c>
      <c r="V202" s="1" t="s">
        <v>1210</v>
      </c>
      <c r="W202" s="1" t="s">
        <v>1210</v>
      </c>
      <c r="X202" s="1" t="s">
        <v>1210</v>
      </c>
      <c r="Y202" s="1" t="s">
        <v>1210</v>
      </c>
      <c r="Z202" s="1" t="s">
        <v>1210</v>
      </c>
    </row>
    <row r="203" spans="1:26">
      <c r="A203" s="1" t="s">
        <v>1159</v>
      </c>
      <c r="B203" s="1" t="s">
        <v>1210</v>
      </c>
      <c r="C203" s="1" t="s">
        <v>1210</v>
      </c>
      <c r="D203" s="1" t="s">
        <v>1210</v>
      </c>
      <c r="E203" s="1" t="s">
        <v>1210</v>
      </c>
      <c r="F203" s="1" t="s">
        <v>1210</v>
      </c>
      <c r="G203" s="1" t="s">
        <v>1210</v>
      </c>
      <c r="H203" s="1" t="s">
        <v>1210</v>
      </c>
      <c r="I203" s="1" t="s">
        <v>1210</v>
      </c>
      <c r="J203" s="1" t="s">
        <v>1210</v>
      </c>
      <c r="K203" s="1" t="s">
        <v>1210</v>
      </c>
      <c r="L203" s="1" t="s">
        <v>1210</v>
      </c>
      <c r="M203" s="1" t="s">
        <v>1210</v>
      </c>
      <c r="N203" s="1" t="s">
        <v>1210</v>
      </c>
      <c r="O203" s="1" t="s">
        <v>1210</v>
      </c>
      <c r="P203" s="1" t="s">
        <v>1210</v>
      </c>
      <c r="Q203" s="1" t="s">
        <v>1210</v>
      </c>
      <c r="R203" s="1" t="s">
        <v>1210</v>
      </c>
      <c r="S203" s="1" t="s">
        <v>1210</v>
      </c>
      <c r="T203" s="1" t="s">
        <v>1210</v>
      </c>
      <c r="U203" s="1" t="s">
        <v>1210</v>
      </c>
      <c r="V203" s="1" t="s">
        <v>1210</v>
      </c>
      <c r="W203" s="1" t="s">
        <v>1210</v>
      </c>
      <c r="X203" s="1" t="s">
        <v>1210</v>
      </c>
      <c r="Y203" s="1" t="s">
        <v>1210</v>
      </c>
      <c r="Z203" s="1" t="s">
        <v>1210</v>
      </c>
    </row>
    <row r="204" spans="1:26">
      <c r="A204" s="1" t="s">
        <v>1110</v>
      </c>
      <c r="B204" s="1">
        <v>1046.08475</v>
      </c>
      <c r="C204" s="1">
        <v>1083.00866666667</v>
      </c>
      <c r="D204" s="1">
        <v>1240.3058333333299</v>
      </c>
      <c r="E204" s="1">
        <v>1454.8271666666701</v>
      </c>
      <c r="F204" s="1">
        <v>1644.4753333333299</v>
      </c>
      <c r="G204" s="1">
        <v>1755.6587500000001</v>
      </c>
      <c r="H204" s="1">
        <v>1797.5505000000001</v>
      </c>
      <c r="I204" s="1">
        <v>1963.72008333333</v>
      </c>
      <c r="J204" s="1">
        <v>1810.3047136515099</v>
      </c>
      <c r="K204" s="1">
        <v>1780.54026086523</v>
      </c>
      <c r="L204" s="1">
        <v>1831.45185089088</v>
      </c>
      <c r="M204" s="1">
        <v>1723.49158714041</v>
      </c>
      <c r="N204" s="1">
        <v>1720.44387915111</v>
      </c>
      <c r="O204" s="1">
        <v>2030.4880743341801</v>
      </c>
      <c r="P204" s="1">
        <v>2177.5575068335802</v>
      </c>
      <c r="Q204" s="1">
        <v>2522.8020325226398</v>
      </c>
      <c r="R204" s="1">
        <v>2504.5630775832801</v>
      </c>
      <c r="S204" s="1">
        <v>2586.8895685656098</v>
      </c>
      <c r="T204" s="1">
        <v>2599.7882006106702</v>
      </c>
      <c r="U204" s="1">
        <v>3240.64542033826</v>
      </c>
      <c r="V204" s="1">
        <v>3420.0980072473599</v>
      </c>
      <c r="W204" s="1">
        <v>3611.2244580446099</v>
      </c>
      <c r="X204" s="1">
        <v>3727.0689948461199</v>
      </c>
      <c r="Y204" s="1">
        <v>3704.0490716968102</v>
      </c>
      <c r="Z204" s="1">
        <v>3718.2489227092401</v>
      </c>
    </row>
    <row r="205" spans="1:26">
      <c r="A205" s="1" t="s">
        <v>1111</v>
      </c>
      <c r="B205" s="1">
        <v>1.8294685583333301</v>
      </c>
      <c r="C205" s="1">
        <v>1.8616583333333301</v>
      </c>
      <c r="D205" s="1">
        <v>2.4495416666666698</v>
      </c>
      <c r="E205" s="1">
        <v>4.1304416666666697</v>
      </c>
      <c r="F205" s="1">
        <v>5.4402333333333299</v>
      </c>
      <c r="G205" s="1">
        <v>5.3721583333333296</v>
      </c>
      <c r="H205" s="1">
        <v>5.3266249999999999</v>
      </c>
      <c r="I205" s="1">
        <v>5.3326883333333299</v>
      </c>
      <c r="J205" s="1">
        <v>5.3191806666666697</v>
      </c>
      <c r="K205" s="1">
        <v>5.1247290000000003</v>
      </c>
      <c r="L205" s="1">
        <v>5.05</v>
      </c>
      <c r="M205" s="1">
        <v>5.05</v>
      </c>
      <c r="N205" s="1">
        <v>5.2672214166666702</v>
      </c>
      <c r="O205" s="1">
        <v>7.79124033333333</v>
      </c>
      <c r="P205" s="1">
        <v>7.9356394166666702</v>
      </c>
      <c r="Q205" s="1">
        <v>7.9675628333333304</v>
      </c>
      <c r="R205" s="1">
        <v>7.99102933333333</v>
      </c>
      <c r="S205" s="1">
        <v>7.9930000000000003</v>
      </c>
      <c r="T205" s="1">
        <v>11.886659416666699</v>
      </c>
      <c r="U205" s="1">
        <v>21.844697766666702</v>
      </c>
      <c r="V205" s="1">
        <v>25.551334116666698</v>
      </c>
      <c r="W205" s="1">
        <v>26.596606300000001</v>
      </c>
      <c r="X205" s="1">
        <v>27.200492333333301</v>
      </c>
      <c r="Y205" s="1">
        <v>25.845589333333301</v>
      </c>
      <c r="Z205" s="1">
        <v>26.9575243833333</v>
      </c>
    </row>
    <row r="206" spans="1:26">
      <c r="A206" s="1" t="s">
        <v>1168</v>
      </c>
      <c r="B206" s="1">
        <v>3.6709999999999998</v>
      </c>
      <c r="C206" s="1">
        <v>3.671125</v>
      </c>
      <c r="D206" s="1">
        <v>3.6724999999999999</v>
      </c>
      <c r="E206" s="1">
        <v>3.6724999999999999</v>
      </c>
      <c r="F206" s="1">
        <v>3.6724999999999999</v>
      </c>
      <c r="G206" s="1">
        <v>3.6724999999999999</v>
      </c>
      <c r="H206" s="1">
        <v>3.6724999999999999</v>
      </c>
      <c r="I206" s="1">
        <v>3.6724999999999999</v>
      </c>
      <c r="J206" s="1">
        <v>3.6724999999999999</v>
      </c>
      <c r="K206" s="1">
        <v>3.6724999999999999</v>
      </c>
      <c r="L206" s="1">
        <v>3.6724999999999999</v>
      </c>
      <c r="M206" s="1">
        <v>3.6724999999999999</v>
      </c>
      <c r="N206" s="1">
        <v>3.6724999999999999</v>
      </c>
      <c r="O206" s="1">
        <v>3.6724999999999999</v>
      </c>
      <c r="P206" s="1">
        <v>3.6724999999999999</v>
      </c>
      <c r="Q206" s="1">
        <v>3.6724999999999999</v>
      </c>
      <c r="R206" s="1">
        <v>3.6724999999999999</v>
      </c>
      <c r="S206" s="1">
        <v>3.6724999999999999</v>
      </c>
      <c r="T206" s="1">
        <v>3.6724999999999999</v>
      </c>
      <c r="U206" s="1">
        <v>3.6724999999999999</v>
      </c>
      <c r="V206" s="1">
        <v>3.6724999999999999</v>
      </c>
      <c r="W206" s="1">
        <v>3.6724999999999999</v>
      </c>
      <c r="X206" s="1">
        <v>3.6724999999999999</v>
      </c>
      <c r="Y206" s="1">
        <v>3.6724999999999999</v>
      </c>
      <c r="Z206" s="1">
        <v>3.6724999999999999</v>
      </c>
    </row>
    <row r="207" spans="1:26">
      <c r="A207" s="1" t="s">
        <v>1160</v>
      </c>
      <c r="B207" s="1">
        <v>0.64095825500000003</v>
      </c>
      <c r="C207" s="1">
        <v>0.61083611416666705</v>
      </c>
      <c r="D207" s="1">
        <v>0.60382359416666698</v>
      </c>
      <c r="E207" s="1">
        <v>0.61805684500000002</v>
      </c>
      <c r="F207" s="1">
        <v>0.66093083333333302</v>
      </c>
      <c r="G207" s="1">
        <v>0.69465500000000002</v>
      </c>
      <c r="H207" s="1">
        <v>0.66722333333333295</v>
      </c>
      <c r="I207" s="1">
        <v>0.61247249999999998</v>
      </c>
      <c r="J207" s="1">
        <v>0.54618</v>
      </c>
      <c r="K207" s="1">
        <v>0.54999833333333303</v>
      </c>
      <c r="L207" s="1">
        <v>0.54348666666666701</v>
      </c>
      <c r="M207" s="1">
        <v>0.499771666666667</v>
      </c>
      <c r="N207" s="1">
        <v>0.54396624999999998</v>
      </c>
      <c r="O207" s="1">
        <v>0.64191926349599604</v>
      </c>
      <c r="P207" s="1">
        <v>0.64717934556016499</v>
      </c>
      <c r="Q207" s="1">
        <v>0.62414083574049495</v>
      </c>
      <c r="R207" s="1">
        <v>0.63304698885732702</v>
      </c>
      <c r="S207" s="1">
        <v>0.63966057761347705</v>
      </c>
      <c r="T207" s="1">
        <v>0.60772962687825505</v>
      </c>
      <c r="U207" s="1">
        <v>0.65454547893142601</v>
      </c>
      <c r="V207" s="1">
        <v>0.74063446369708397</v>
      </c>
      <c r="W207" s="1">
        <v>0.77697668234412298</v>
      </c>
      <c r="X207" s="1">
        <v>0.74953154025984703</v>
      </c>
      <c r="Y207" s="1">
        <v>0.78344511001192896</v>
      </c>
      <c r="Z207" s="1">
        <v>0.77999957669715303</v>
      </c>
    </row>
    <row r="208" spans="1:26">
      <c r="A208" s="1" t="s">
        <v>155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</row>
    <row r="209" spans="1:26">
      <c r="A209" s="1" t="s">
        <v>334</v>
      </c>
      <c r="B209" s="1">
        <v>7.97183333333333</v>
      </c>
      <c r="C209" s="1">
        <v>9.4418333333333297</v>
      </c>
      <c r="D209" s="1">
        <v>10.471916666666701</v>
      </c>
      <c r="E209" s="1">
        <v>11.3393</v>
      </c>
      <c r="F209" s="1">
        <v>12.099591666666701</v>
      </c>
      <c r="G209" s="1">
        <v>13.3191166666667</v>
      </c>
      <c r="H209" s="1">
        <v>21.256966666666699</v>
      </c>
      <c r="I209" s="1">
        <v>28.208683333333301</v>
      </c>
      <c r="J209" s="1">
        <v>28.7037333333333</v>
      </c>
      <c r="K209" s="1">
        <v>24.4786</v>
      </c>
      <c r="L209" s="1">
        <v>24.073358333333299</v>
      </c>
      <c r="M209" s="1">
        <v>23.471025000000001</v>
      </c>
      <c r="N209" s="1">
        <v>20.9493166666667</v>
      </c>
      <c r="O209" s="1">
        <v>22.567983333333299</v>
      </c>
      <c r="P209" s="1">
        <v>20.059275</v>
      </c>
      <c r="Q209" s="1">
        <v>19.314208333333301</v>
      </c>
      <c r="R209" s="1">
        <v>20.310575</v>
      </c>
      <c r="S209" s="1">
        <v>20.481608333333298</v>
      </c>
      <c r="T209" s="1">
        <v>23.246024999999999</v>
      </c>
      <c r="U209" s="1">
        <v>27.327366666666698</v>
      </c>
      <c r="V209" s="1">
        <v>30.162600000000001</v>
      </c>
      <c r="W209" s="1">
        <v>28.676400000000001</v>
      </c>
      <c r="X209" s="1">
        <v>30.725258333333301</v>
      </c>
      <c r="Y209" s="1">
        <v>35.255375000000001</v>
      </c>
      <c r="Z209" s="1">
        <v>42.013291666666703</v>
      </c>
    </row>
    <row r="210" spans="1:26">
      <c r="A210" s="1" t="s">
        <v>1112</v>
      </c>
      <c r="B210" s="1">
        <v>40.066666666666698</v>
      </c>
      <c r="C210" s="1">
        <v>62.9166666666667</v>
      </c>
      <c r="D210" s="1">
        <v>94.491666666666703</v>
      </c>
      <c r="E210" s="1">
        <v>124.625</v>
      </c>
      <c r="F210" s="1">
        <v>236.60833333333301</v>
      </c>
      <c r="G210" s="1" t="s">
        <v>1210</v>
      </c>
      <c r="H210" s="1" t="s">
        <v>1210</v>
      </c>
      <c r="I210" s="1" t="s">
        <v>1210</v>
      </c>
      <c r="J210" s="1" t="s">
        <v>1210</v>
      </c>
      <c r="K210" s="1" t="s">
        <v>1210</v>
      </c>
      <c r="L210" s="1" t="s">
        <v>1210</v>
      </c>
      <c r="M210" s="1" t="s">
        <v>1210</v>
      </c>
      <c r="N210" s="1" t="s">
        <v>1210</v>
      </c>
      <c r="O210" s="1" t="s">
        <v>1210</v>
      </c>
      <c r="P210" s="1" t="s">
        <v>1210</v>
      </c>
      <c r="Q210" s="1" t="s">
        <v>1210</v>
      </c>
      <c r="R210" s="1" t="s">
        <v>1210</v>
      </c>
      <c r="S210" s="1">
        <v>2094.9884650537601</v>
      </c>
      <c r="T210" s="1">
        <v>2310.9481588069598</v>
      </c>
      <c r="U210" s="1">
        <v>2567.9872133982699</v>
      </c>
      <c r="V210" s="1">
        <v>2965.25349937684</v>
      </c>
      <c r="W210" s="1">
        <v>5113.8789459571699</v>
      </c>
      <c r="X210" s="1">
        <v>8069.6062365591397</v>
      </c>
      <c r="Y210" s="1">
        <v>8836.7875000000004</v>
      </c>
      <c r="Z210" s="1">
        <v>10054.2613341653</v>
      </c>
    </row>
    <row r="211" spans="1:26">
      <c r="A211" s="1" t="s">
        <v>1161</v>
      </c>
      <c r="B211" s="1">
        <v>111.71916666666699</v>
      </c>
      <c r="C211" s="1">
        <v>115.87333333333299</v>
      </c>
      <c r="D211" s="1">
        <v>127.5175</v>
      </c>
      <c r="E211" s="1">
        <v>129.07499999999999</v>
      </c>
      <c r="F211" s="1">
        <v>137.643333333333</v>
      </c>
      <c r="G211" s="1">
        <v>145.3125</v>
      </c>
      <c r="H211" s="1">
        <v>139.19833333333301</v>
      </c>
      <c r="I211" s="1">
        <v>122.18916666666701</v>
      </c>
      <c r="J211" s="1">
        <v>111.79</v>
      </c>
      <c r="K211" s="1">
        <v>109.245833333333</v>
      </c>
      <c r="L211" s="1">
        <v>110.64083333333301</v>
      </c>
      <c r="M211" s="1">
        <v>102.4375</v>
      </c>
      <c r="N211" s="1">
        <v>101.334166666667</v>
      </c>
      <c r="O211" s="1">
        <v>106.740833333333</v>
      </c>
      <c r="P211" s="1">
        <v>96.905833333333305</v>
      </c>
      <c r="Q211" s="1">
        <v>89.469166666666695</v>
      </c>
      <c r="R211" s="1">
        <v>92.637500000000003</v>
      </c>
      <c r="S211" s="1">
        <v>94.542500000000004</v>
      </c>
      <c r="T211" s="1">
        <v>97.071666666666701</v>
      </c>
      <c r="U211" s="1">
        <v>108.989166666667</v>
      </c>
      <c r="V211" s="1">
        <v>108.47499999999999</v>
      </c>
      <c r="W211" s="1">
        <v>107.820833333333</v>
      </c>
      <c r="X211" s="1">
        <v>110.16500000000001</v>
      </c>
      <c r="Y211" s="1">
        <v>114.7325</v>
      </c>
      <c r="Z211" s="1">
        <v>115.38</v>
      </c>
    </row>
    <row r="212" spans="1:26">
      <c r="A212" s="1" t="s">
        <v>1162</v>
      </c>
      <c r="B212" s="1">
        <v>0.41735</v>
      </c>
      <c r="C212" s="1">
        <v>0.48863333333333298</v>
      </c>
      <c r="D212" s="1">
        <v>0.54756666666666698</v>
      </c>
      <c r="E212" s="1">
        <v>0.60572499999999996</v>
      </c>
      <c r="F212" s="1">
        <v>0.67996666666666705</v>
      </c>
      <c r="G212" s="1">
        <v>0.72365833333333296</v>
      </c>
      <c r="H212" s="1">
        <v>1.1609499999999999</v>
      </c>
      <c r="I212" s="1">
        <v>1.6069583333333299</v>
      </c>
      <c r="J212" s="1">
        <v>1.89133333333333</v>
      </c>
      <c r="K212" s="1">
        <v>2.08975</v>
      </c>
      <c r="L212" s="1">
        <v>2.1469999999999998</v>
      </c>
      <c r="M212" s="1">
        <v>2.1469999999999998</v>
      </c>
      <c r="N212" s="1">
        <v>2.1469999999999998</v>
      </c>
      <c r="O212" s="1">
        <v>2.1469999999999998</v>
      </c>
      <c r="P212" s="1">
        <v>2.5820603174603201</v>
      </c>
      <c r="Q212" s="1">
        <v>4.2892999999999999</v>
      </c>
      <c r="R212" s="1">
        <v>4.2892999999999999</v>
      </c>
      <c r="S212" s="1">
        <v>6.0479618416666696</v>
      </c>
      <c r="T212" s="1">
        <v>6.2842000000000002</v>
      </c>
      <c r="U212" s="1">
        <v>6.2842000000000002</v>
      </c>
      <c r="V212" s="1">
        <v>9.2573444444416708</v>
      </c>
      <c r="W212" s="1">
        <v>9.9749999999999996</v>
      </c>
      <c r="X212" s="1" t="s">
        <v>1210</v>
      </c>
      <c r="Y212" s="1" t="s">
        <v>1210</v>
      </c>
      <c r="Z212" s="1" t="s">
        <v>1210</v>
      </c>
    </row>
    <row r="213" spans="1:26">
      <c r="A213" s="1" t="s">
        <v>1116</v>
      </c>
      <c r="B213" s="1">
        <v>11032.583333333299</v>
      </c>
      <c r="C213" s="1">
        <v>11683.333333333299</v>
      </c>
      <c r="D213" s="1">
        <v>13268</v>
      </c>
      <c r="E213" s="1">
        <v>13943.166666666701</v>
      </c>
      <c r="F213" s="1">
        <v>14167.75</v>
      </c>
      <c r="G213" s="1">
        <v>14725.166666666701</v>
      </c>
      <c r="H213" s="1">
        <v>15279.5</v>
      </c>
      <c r="I213" s="1">
        <v>15509.583333333299</v>
      </c>
      <c r="J213" s="1">
        <v>15746</v>
      </c>
      <c r="K213" s="1">
        <v>15858.916666666701</v>
      </c>
      <c r="L213" s="1">
        <v>15994.25</v>
      </c>
      <c r="M213" s="1">
        <v>16105.125</v>
      </c>
      <c r="N213" s="1">
        <v>16302.25</v>
      </c>
      <c r="O213" s="1">
        <v>17065.083333333299</v>
      </c>
      <c r="P213" s="1">
        <v>18612.916666666701</v>
      </c>
      <c r="Q213" s="1">
        <v>20509.75</v>
      </c>
      <c r="R213" s="1">
        <v>20828</v>
      </c>
      <c r="S213" s="1">
        <v>20933.416666666701</v>
      </c>
      <c r="T213" s="1">
        <v>21148</v>
      </c>
      <c r="U213" s="1">
        <v>21697.567500000001</v>
      </c>
      <c r="V213" s="1">
        <v>21935.000833333299</v>
      </c>
      <c r="W213" s="1">
        <v>22370.086666666699</v>
      </c>
      <c r="X213" s="1">
        <v>22602.05</v>
      </c>
      <c r="Y213" s="1">
        <v>23050.241666666701</v>
      </c>
      <c r="Z213" s="1">
        <v>23208.368333333299</v>
      </c>
    </row>
    <row r="214" spans="1:26">
      <c r="A214" s="1" t="s">
        <v>1207</v>
      </c>
      <c r="B214" s="1" t="s">
        <v>1210</v>
      </c>
      <c r="C214" s="1" t="s">
        <v>1210</v>
      </c>
      <c r="D214" s="1" t="s">
        <v>1210</v>
      </c>
      <c r="E214" s="1" t="s">
        <v>1210</v>
      </c>
      <c r="F214" s="1" t="s">
        <v>1210</v>
      </c>
      <c r="G214" s="1" t="s">
        <v>1210</v>
      </c>
      <c r="H214" s="1" t="s">
        <v>1210</v>
      </c>
      <c r="I214" s="1" t="s">
        <v>1210</v>
      </c>
      <c r="J214" s="1" t="s">
        <v>1210</v>
      </c>
      <c r="K214" s="1" t="s">
        <v>1210</v>
      </c>
      <c r="L214" s="1" t="s">
        <v>1210</v>
      </c>
      <c r="M214" s="1" t="s">
        <v>1210</v>
      </c>
      <c r="N214" s="1" t="s">
        <v>1210</v>
      </c>
      <c r="O214" s="1" t="s">
        <v>1210</v>
      </c>
      <c r="P214" s="1" t="s">
        <v>1210</v>
      </c>
      <c r="Q214" s="1" t="s">
        <v>1210</v>
      </c>
      <c r="R214" s="1" t="s">
        <v>1210</v>
      </c>
      <c r="S214" s="1" t="s">
        <v>1210</v>
      </c>
      <c r="T214" s="1" t="s">
        <v>1210</v>
      </c>
      <c r="U214" s="1" t="s">
        <v>1210</v>
      </c>
      <c r="V214" s="1" t="s">
        <v>1210</v>
      </c>
      <c r="W214" s="1" t="s">
        <v>1210</v>
      </c>
      <c r="X214" s="1" t="s">
        <v>1210</v>
      </c>
      <c r="Y214" s="1" t="s">
        <v>1210</v>
      </c>
      <c r="Z214" s="1" t="s">
        <v>1210</v>
      </c>
    </row>
    <row r="215" spans="1:26">
      <c r="A215" s="1" t="s">
        <v>1196</v>
      </c>
      <c r="B215" s="1" t="s">
        <v>1210</v>
      </c>
      <c r="C215" s="1" t="s">
        <v>1210</v>
      </c>
      <c r="D215" s="1" t="s">
        <v>1210</v>
      </c>
      <c r="E215" s="1" t="s">
        <v>1210</v>
      </c>
      <c r="F215" s="1" t="s">
        <v>1210</v>
      </c>
      <c r="G215" s="1" t="s">
        <v>1210</v>
      </c>
      <c r="H215" s="1" t="s">
        <v>1210</v>
      </c>
      <c r="I215" s="1" t="s">
        <v>1210</v>
      </c>
      <c r="J215" s="1" t="s">
        <v>1210</v>
      </c>
      <c r="K215" s="1" t="s">
        <v>1210</v>
      </c>
      <c r="L215" s="1" t="s">
        <v>1210</v>
      </c>
      <c r="M215" s="1" t="s">
        <v>1210</v>
      </c>
      <c r="N215" s="1" t="s">
        <v>1210</v>
      </c>
      <c r="O215" s="1" t="s">
        <v>1210</v>
      </c>
      <c r="P215" s="1" t="s">
        <v>1210</v>
      </c>
      <c r="Q215" s="1" t="s">
        <v>1210</v>
      </c>
      <c r="R215" s="1" t="s">
        <v>1210</v>
      </c>
      <c r="S215" s="1" t="s">
        <v>1210</v>
      </c>
      <c r="T215" s="1" t="s">
        <v>1210</v>
      </c>
      <c r="U215" s="1" t="s">
        <v>1210</v>
      </c>
      <c r="V215" s="1" t="s">
        <v>1210</v>
      </c>
      <c r="W215" s="1" t="s">
        <v>1210</v>
      </c>
      <c r="X215" s="1" t="s">
        <v>1210</v>
      </c>
      <c r="Y215" s="1" t="s">
        <v>1210</v>
      </c>
      <c r="Z215" s="1" t="s">
        <v>1210</v>
      </c>
    </row>
    <row r="216" spans="1:26">
      <c r="A216" s="1" t="s">
        <v>1163</v>
      </c>
      <c r="B216" s="1">
        <v>94.156666716535199</v>
      </c>
      <c r="C216" s="1">
        <v>129.28083333333299</v>
      </c>
      <c r="D216" s="1">
        <v>135.881666666667</v>
      </c>
      <c r="E216" s="1">
        <v>155.71833333333299</v>
      </c>
      <c r="F216" s="1">
        <v>161.71833333333299</v>
      </c>
      <c r="G216" s="1">
        <v>168.67166666666699</v>
      </c>
      <c r="H216" s="1">
        <v>175.625</v>
      </c>
      <c r="I216" s="1">
        <v>183.44833333333301</v>
      </c>
      <c r="J216" s="1">
        <v>184.775833333333</v>
      </c>
      <c r="K216" s="1">
        <v>191.509166666667</v>
      </c>
      <c r="L216" s="1">
        <v>197.04916666666699</v>
      </c>
      <c r="M216" s="1">
        <v>198.95333333333301</v>
      </c>
      <c r="N216" s="1">
        <v>199.76416666666699</v>
      </c>
      <c r="O216" s="1">
        <v>202.84666666666701</v>
      </c>
      <c r="P216" s="1">
        <v>219.59</v>
      </c>
      <c r="Q216" s="1">
        <v>213.8</v>
      </c>
      <c r="R216" s="1">
        <v>214.349166666667</v>
      </c>
      <c r="S216" s="1">
        <v>214.89</v>
      </c>
      <c r="T216" s="1">
        <v>214.89</v>
      </c>
      <c r="U216" s="1">
        <v>231.19958333333301</v>
      </c>
      <c r="V216" s="1">
        <v>283.89583333333297</v>
      </c>
      <c r="W216" s="1">
        <v>282.19499999999999</v>
      </c>
      <c r="X216" s="1">
        <v>214.89</v>
      </c>
      <c r="Y216" s="1">
        <v>490.97250000000003</v>
      </c>
      <c r="Z216" s="1">
        <v>740.5</v>
      </c>
    </row>
    <row r="217" spans="1:26">
      <c r="A217" s="1" t="s">
        <v>1120</v>
      </c>
      <c r="B217" s="1">
        <v>1.2079</v>
      </c>
      <c r="C217" s="1">
        <v>1.3144975000000001</v>
      </c>
      <c r="D217" s="1">
        <v>1.86206916666667</v>
      </c>
      <c r="E217" s="1">
        <v>2.3880191666666701</v>
      </c>
      <c r="F217" s="1">
        <v>3.11084416666667</v>
      </c>
      <c r="G217" s="1">
        <v>3.610935</v>
      </c>
      <c r="H217" s="1">
        <v>4.3985950000000003</v>
      </c>
      <c r="I217" s="1">
        <v>4.7332710464987198</v>
      </c>
      <c r="J217" s="1">
        <v>4.7788753864357902</v>
      </c>
      <c r="K217" s="1">
        <v>4.4649999999999999</v>
      </c>
      <c r="L217" s="1">
        <v>3.6016666666666701</v>
      </c>
      <c r="M217" s="1">
        <v>4.0016666666666696</v>
      </c>
      <c r="N217" s="1">
        <v>3.7450000000000001</v>
      </c>
      <c r="O217" s="1">
        <v>5.0449999999999999</v>
      </c>
      <c r="P217" s="1">
        <v>4.7975000000000003</v>
      </c>
      <c r="Q217" s="1">
        <v>4.8616666666666699</v>
      </c>
      <c r="R217" s="1">
        <v>5.1475</v>
      </c>
      <c r="S217" s="1">
        <v>5.3964833333333297</v>
      </c>
      <c r="T217" s="1">
        <v>6.1541666666666703</v>
      </c>
      <c r="U217" s="1">
        <v>8.6316666666666695</v>
      </c>
      <c r="V217" s="1">
        <v>10.307499999999999</v>
      </c>
      <c r="W217" s="1">
        <v>9.5175000000000001</v>
      </c>
      <c r="X217" s="1">
        <v>10.4583333333333</v>
      </c>
      <c r="Y217" s="1">
        <v>12.89</v>
      </c>
      <c r="Z217" s="1">
        <v>18.344092645337899</v>
      </c>
    </row>
    <row r="218" spans="1:26">
      <c r="A218" s="1" t="s">
        <v>1122</v>
      </c>
      <c r="B218" s="1">
        <v>1.00137132167889E-2</v>
      </c>
      <c r="C218" s="1">
        <v>1.21250465891802E-2</v>
      </c>
      <c r="D218" s="1">
        <v>2.3706012838122799E-2</v>
      </c>
      <c r="E218" s="1">
        <v>3.8344710205420497E-2</v>
      </c>
      <c r="F218" s="1">
        <v>4.4468376417429997E-2</v>
      </c>
      <c r="G218" s="1">
        <v>5.5114659712586597E-2</v>
      </c>
      <c r="H218" s="1">
        <v>5.5098290581033799E-2</v>
      </c>
      <c r="I218" s="1">
        <v>0.69821607130572305</v>
      </c>
      <c r="J218" s="1">
        <v>5.0744194146319499</v>
      </c>
      <c r="K218" s="1">
        <v>22.389039604825498</v>
      </c>
      <c r="L218" s="1">
        <v>164.547356500646</v>
      </c>
      <c r="M218" s="1">
        <v>9686.7716695417494</v>
      </c>
      <c r="N218" s="1">
        <v>6723052073.3381004</v>
      </c>
      <c r="O218" s="1" t="s">
        <v>1210</v>
      </c>
      <c r="P218" s="1" t="s">
        <v>1210</v>
      </c>
      <c r="Q218" s="1" t="s">
        <v>1210</v>
      </c>
      <c r="R218" s="1" t="s">
        <v>1210</v>
      </c>
      <c r="S218" s="1" t="s">
        <v>1210</v>
      </c>
      <c r="T218" s="1" t="s">
        <v>1210</v>
      </c>
      <c r="U218" s="1" t="s">
        <v>1210</v>
      </c>
      <c r="V218" s="1" t="s">
        <v>1210</v>
      </c>
      <c r="W218" s="1" t="s">
        <v>1210</v>
      </c>
      <c r="X218" s="1" t="s">
        <v>1210</v>
      </c>
      <c r="Y218" s="1" t="s">
        <v>1210</v>
      </c>
      <c r="Z218" s="1">
        <v>51.329013122628702</v>
      </c>
    </row>
    <row r="219" spans="1:26">
      <c r="A219" s="1" t="s">
        <v>1214</v>
      </c>
      <c r="B219" s="1" t="s">
        <v>1210</v>
      </c>
      <c r="C219" s="1" t="s">
        <v>1210</v>
      </c>
      <c r="D219" s="1" t="s">
        <v>1210</v>
      </c>
      <c r="E219" s="1" t="s">
        <v>1210</v>
      </c>
      <c r="F219" s="1" t="s">
        <v>1210</v>
      </c>
      <c r="G219" s="1" t="s">
        <v>1210</v>
      </c>
      <c r="H219" s="1" t="s">
        <v>1210</v>
      </c>
      <c r="I219" s="1" t="s">
        <v>1210</v>
      </c>
      <c r="J219" s="1" t="s">
        <v>1210</v>
      </c>
      <c r="K219" s="1" t="s">
        <v>1210</v>
      </c>
      <c r="L219" s="1" t="s">
        <v>1210</v>
      </c>
      <c r="M219" s="1" t="s">
        <v>1210</v>
      </c>
      <c r="N219" s="1" t="s">
        <v>1210</v>
      </c>
      <c r="O219" s="1" t="s">
        <v>1210</v>
      </c>
      <c r="P219" s="1" t="s">
        <v>1210</v>
      </c>
      <c r="Q219" s="1" t="s">
        <v>1210</v>
      </c>
      <c r="R219" s="1" t="s">
        <v>1210</v>
      </c>
      <c r="S219" s="1" t="s">
        <v>1210</v>
      </c>
      <c r="T219" s="1" t="s">
        <v>1210</v>
      </c>
      <c r="U219" s="1" t="s">
        <v>1210</v>
      </c>
      <c r="V219" s="1" t="s">
        <v>1210</v>
      </c>
      <c r="W219" s="1" t="s">
        <v>1210</v>
      </c>
      <c r="X219" s="1" t="s">
        <v>1210</v>
      </c>
      <c r="Y219" s="1" t="s">
        <v>1210</v>
      </c>
      <c r="Z219" s="1" t="s">
        <v>1210</v>
      </c>
    </row>
    <row r="220" spans="1:26">
      <c r="A220" s="1" t="s">
        <v>1215</v>
      </c>
      <c r="B220" s="1" t="s">
        <v>1210</v>
      </c>
      <c r="C220" s="1" t="s">
        <v>1210</v>
      </c>
      <c r="D220" s="1" t="s">
        <v>1210</v>
      </c>
      <c r="E220" s="1" t="s">
        <v>1210</v>
      </c>
      <c r="F220" s="1" t="s">
        <v>1210</v>
      </c>
      <c r="G220" s="1" t="s">
        <v>1210</v>
      </c>
      <c r="H220" s="1" t="s">
        <v>1210</v>
      </c>
      <c r="I220" s="1" t="s">
        <v>1210</v>
      </c>
      <c r="J220" s="1" t="s">
        <v>1210</v>
      </c>
      <c r="K220" s="1" t="s">
        <v>1210</v>
      </c>
      <c r="L220" s="1" t="s">
        <v>1210</v>
      </c>
      <c r="M220" s="1" t="s">
        <v>1210</v>
      </c>
      <c r="N220" s="1" t="s">
        <v>1210</v>
      </c>
      <c r="O220" s="1" t="s">
        <v>1210</v>
      </c>
      <c r="P220" s="1" t="s">
        <v>1210</v>
      </c>
      <c r="Q220" s="1" t="s">
        <v>1210</v>
      </c>
      <c r="R220" s="1" t="s">
        <v>1210</v>
      </c>
      <c r="S220" s="1" t="s">
        <v>1210</v>
      </c>
      <c r="T220" s="1" t="s">
        <v>1210</v>
      </c>
      <c r="U220" s="1" t="s">
        <v>1210</v>
      </c>
      <c r="V220" s="1" t="s">
        <v>1210</v>
      </c>
      <c r="W220" s="1" t="s">
        <v>1210</v>
      </c>
      <c r="X220" s="1" t="s">
        <v>1210</v>
      </c>
      <c r="Y220" s="1" t="s">
        <v>1210</v>
      </c>
      <c r="Z220" s="1" t="s">
        <v>1210</v>
      </c>
    </row>
    <row r="221" spans="1:26">
      <c r="A221" s="1" t="s">
        <v>1167</v>
      </c>
      <c r="B221" s="1" t="s">
        <v>1210</v>
      </c>
      <c r="C221" s="1" t="s">
        <v>1210</v>
      </c>
      <c r="D221" s="1" t="s">
        <v>1210</v>
      </c>
      <c r="E221" s="1" t="s">
        <v>1210</v>
      </c>
      <c r="F221" s="1" t="s">
        <v>1210</v>
      </c>
      <c r="G221" s="1" t="s">
        <v>1210</v>
      </c>
      <c r="H221" s="1" t="s">
        <v>1210</v>
      </c>
      <c r="I221" s="1" t="s">
        <v>1210</v>
      </c>
      <c r="J221" s="1" t="s">
        <v>1210</v>
      </c>
      <c r="K221" s="1" t="s">
        <v>1210</v>
      </c>
      <c r="L221" s="1" t="s">
        <v>1210</v>
      </c>
      <c r="M221" s="1" t="s">
        <v>1210</v>
      </c>
      <c r="N221" s="1" t="s">
        <v>1210</v>
      </c>
      <c r="O221" s="1" t="s">
        <v>1210</v>
      </c>
      <c r="P221" s="1" t="s">
        <v>1210</v>
      </c>
      <c r="Q221" s="1" t="s">
        <v>1210</v>
      </c>
      <c r="R221" s="1" t="s">
        <v>1210</v>
      </c>
      <c r="S221" s="1" t="s">
        <v>1210</v>
      </c>
      <c r="T221" s="1" t="s">
        <v>1210</v>
      </c>
      <c r="U221" s="1" t="s">
        <v>1210</v>
      </c>
      <c r="V221" s="1" t="s">
        <v>1210</v>
      </c>
      <c r="W221" s="1" t="s">
        <v>1210</v>
      </c>
      <c r="X221" s="1" t="s">
        <v>1210</v>
      </c>
      <c r="Y221" s="1" t="s">
        <v>1210</v>
      </c>
      <c r="Z221" s="1" t="s">
        <v>1210</v>
      </c>
    </row>
    <row r="222" spans="1:26">
      <c r="A222" s="1" t="s">
        <v>1216</v>
      </c>
      <c r="B222" s="1" t="s">
        <v>1210</v>
      </c>
      <c r="C222" s="1" t="s">
        <v>1210</v>
      </c>
      <c r="D222" s="1" t="s">
        <v>1210</v>
      </c>
      <c r="E222" s="1" t="s">
        <v>1210</v>
      </c>
      <c r="F222" s="1" t="s">
        <v>1210</v>
      </c>
      <c r="G222" s="1" t="s">
        <v>1210</v>
      </c>
      <c r="H222" s="1" t="s">
        <v>1210</v>
      </c>
      <c r="I222" s="1" t="s">
        <v>1210</v>
      </c>
      <c r="J222" s="1" t="s">
        <v>1210</v>
      </c>
      <c r="K222" s="1" t="s">
        <v>1210</v>
      </c>
      <c r="L222" s="1" t="s">
        <v>1210</v>
      </c>
      <c r="M222" s="1" t="s">
        <v>1210</v>
      </c>
      <c r="N222" s="1" t="s">
        <v>1210</v>
      </c>
      <c r="O222" s="1" t="s">
        <v>1210</v>
      </c>
      <c r="P222" s="1" t="s">
        <v>1210</v>
      </c>
      <c r="Q222" s="1" t="s">
        <v>1210</v>
      </c>
      <c r="R222" s="1" t="s">
        <v>1210</v>
      </c>
      <c r="S222" s="1" t="s">
        <v>1210</v>
      </c>
      <c r="T222" s="1" t="s">
        <v>1210</v>
      </c>
      <c r="U222" s="1" t="s">
        <v>1210</v>
      </c>
      <c r="V222" s="1" t="s">
        <v>1210</v>
      </c>
      <c r="W222" s="1" t="s">
        <v>1210</v>
      </c>
      <c r="X222" s="1" t="s">
        <v>1210</v>
      </c>
      <c r="Y222" s="1" t="s">
        <v>1210</v>
      </c>
      <c r="Z222" s="1" t="s">
        <v>1210</v>
      </c>
    </row>
    <row r="223" spans="1:26">
      <c r="A223" s="1" t="s">
        <v>1217</v>
      </c>
      <c r="B223" s="1" t="s">
        <v>1210</v>
      </c>
      <c r="C223" s="1" t="s">
        <v>1210</v>
      </c>
      <c r="D223" s="1" t="s">
        <v>1210</v>
      </c>
      <c r="E223" s="1" t="s">
        <v>1210</v>
      </c>
      <c r="F223" s="1" t="s">
        <v>1210</v>
      </c>
      <c r="G223" s="1" t="s">
        <v>1210</v>
      </c>
      <c r="H223" s="1" t="s">
        <v>1210</v>
      </c>
      <c r="I223" s="1" t="s">
        <v>1210</v>
      </c>
      <c r="J223" s="1" t="s">
        <v>1210</v>
      </c>
      <c r="K223" s="1" t="s">
        <v>1210</v>
      </c>
      <c r="L223" s="1" t="s">
        <v>1210</v>
      </c>
      <c r="M223" s="1" t="s">
        <v>1210</v>
      </c>
      <c r="N223" s="1" t="s">
        <v>1210</v>
      </c>
      <c r="O223" s="1" t="s">
        <v>1210</v>
      </c>
      <c r="P223" s="1" t="s">
        <v>1210</v>
      </c>
      <c r="Q223" s="1" t="s">
        <v>1210</v>
      </c>
      <c r="R223" s="1" t="s">
        <v>1210</v>
      </c>
      <c r="S223" s="1" t="s">
        <v>1210</v>
      </c>
      <c r="T223" s="1" t="s">
        <v>1210</v>
      </c>
      <c r="U223" s="1" t="s">
        <v>1210</v>
      </c>
      <c r="V223" s="1" t="s">
        <v>1210</v>
      </c>
      <c r="W223" s="1" t="s">
        <v>1210</v>
      </c>
      <c r="X223" s="1" t="s">
        <v>1210</v>
      </c>
      <c r="Y223" s="1" t="s">
        <v>1210</v>
      </c>
      <c r="Z223" s="1" t="s">
        <v>1210</v>
      </c>
    </row>
    <row r="224" spans="1:26">
      <c r="A224" s="1" t="s">
        <v>1218</v>
      </c>
      <c r="B224" s="1" t="s">
        <v>1210</v>
      </c>
      <c r="C224" s="1" t="s">
        <v>1210</v>
      </c>
      <c r="D224" s="1" t="s">
        <v>1210</v>
      </c>
      <c r="E224" s="1" t="s">
        <v>1210</v>
      </c>
      <c r="F224" s="1" t="s">
        <v>1210</v>
      </c>
      <c r="G224" s="1" t="s">
        <v>1210</v>
      </c>
      <c r="H224" s="1" t="s">
        <v>1210</v>
      </c>
      <c r="I224" s="1" t="s">
        <v>1210</v>
      </c>
      <c r="J224" s="1" t="s">
        <v>1210</v>
      </c>
      <c r="K224" s="1" t="s">
        <v>1210</v>
      </c>
      <c r="L224" s="1" t="s">
        <v>1210</v>
      </c>
      <c r="M224" s="1" t="s">
        <v>1210</v>
      </c>
      <c r="N224" s="1" t="s">
        <v>1210</v>
      </c>
      <c r="O224" s="1" t="s">
        <v>1210</v>
      </c>
      <c r="P224" s="1" t="s">
        <v>1210</v>
      </c>
      <c r="Q224" s="1" t="s">
        <v>1210</v>
      </c>
      <c r="R224" s="1" t="s">
        <v>1210</v>
      </c>
      <c r="S224" s="1" t="s">
        <v>1210</v>
      </c>
      <c r="T224" s="1" t="s">
        <v>1210</v>
      </c>
      <c r="U224" s="1" t="s">
        <v>1210</v>
      </c>
      <c r="V224" s="1" t="s">
        <v>1210</v>
      </c>
      <c r="W224" s="1" t="s">
        <v>1210</v>
      </c>
      <c r="X224" s="1" t="s">
        <v>1210</v>
      </c>
      <c r="Y224" s="1" t="s">
        <v>1210</v>
      </c>
      <c r="Z224" s="1" t="s">
        <v>1210</v>
      </c>
    </row>
    <row r="225" spans="1:26">
      <c r="A225" s="1" t="s">
        <v>1219</v>
      </c>
      <c r="B225" s="1" t="s">
        <v>1210</v>
      </c>
      <c r="C225" s="1" t="s">
        <v>1210</v>
      </c>
      <c r="D225" s="1" t="s">
        <v>1210</v>
      </c>
      <c r="E225" s="1" t="s">
        <v>1210</v>
      </c>
      <c r="F225" s="1" t="s">
        <v>1210</v>
      </c>
      <c r="G225" s="1" t="s">
        <v>1210</v>
      </c>
      <c r="H225" s="1" t="s">
        <v>1210</v>
      </c>
      <c r="I225" s="1" t="s">
        <v>1210</v>
      </c>
      <c r="J225" s="1" t="s">
        <v>1210</v>
      </c>
      <c r="K225" s="1" t="s">
        <v>1210</v>
      </c>
      <c r="L225" s="1" t="s">
        <v>1210</v>
      </c>
      <c r="M225" s="1" t="s">
        <v>1210</v>
      </c>
      <c r="N225" s="1" t="s">
        <v>1210</v>
      </c>
      <c r="O225" s="1" t="s">
        <v>1210</v>
      </c>
      <c r="P225" s="1" t="s">
        <v>1210</v>
      </c>
      <c r="Q225" s="1" t="s">
        <v>1210</v>
      </c>
      <c r="R225" s="1" t="s">
        <v>1210</v>
      </c>
      <c r="S225" s="1" t="s">
        <v>1210</v>
      </c>
      <c r="T225" s="1" t="s">
        <v>1210</v>
      </c>
      <c r="U225" s="1" t="s">
        <v>1210</v>
      </c>
      <c r="V225" s="1" t="s">
        <v>1210</v>
      </c>
      <c r="W225" s="1" t="s">
        <v>1210</v>
      </c>
      <c r="X225" s="1" t="s">
        <v>1210</v>
      </c>
      <c r="Y225" s="1" t="s">
        <v>1210</v>
      </c>
      <c r="Z225" s="1" t="s">
        <v>1210</v>
      </c>
    </row>
    <row r="226" spans="1:26">
      <c r="A226" s="1" t="s">
        <v>1220</v>
      </c>
      <c r="B226" s="1" t="s">
        <v>1210</v>
      </c>
      <c r="C226" s="1" t="s">
        <v>1210</v>
      </c>
      <c r="D226" s="1" t="s">
        <v>1210</v>
      </c>
      <c r="E226" s="1" t="s">
        <v>1210</v>
      </c>
      <c r="F226" s="1" t="s">
        <v>1210</v>
      </c>
      <c r="G226" s="1" t="s">
        <v>1210</v>
      </c>
      <c r="H226" s="1" t="s">
        <v>1210</v>
      </c>
      <c r="I226" s="1" t="s">
        <v>1210</v>
      </c>
      <c r="J226" s="1" t="s">
        <v>1210</v>
      </c>
      <c r="K226" s="1" t="s">
        <v>1210</v>
      </c>
      <c r="L226" s="1" t="s">
        <v>1210</v>
      </c>
      <c r="M226" s="1" t="s">
        <v>1210</v>
      </c>
      <c r="N226" s="1" t="s">
        <v>1210</v>
      </c>
      <c r="O226" s="1" t="s">
        <v>1210</v>
      </c>
      <c r="P226" s="1" t="s">
        <v>1210</v>
      </c>
      <c r="Q226" s="1" t="s">
        <v>1210</v>
      </c>
      <c r="R226" s="1" t="s">
        <v>1210</v>
      </c>
      <c r="S226" s="1" t="s">
        <v>1210</v>
      </c>
      <c r="T226" s="1" t="s">
        <v>1210</v>
      </c>
      <c r="U226" s="1" t="s">
        <v>1210</v>
      </c>
      <c r="V226" s="1" t="s">
        <v>1210</v>
      </c>
      <c r="W226" s="1" t="s">
        <v>1210</v>
      </c>
      <c r="X226" s="1" t="s">
        <v>1210</v>
      </c>
      <c r="Y226" s="1" t="s">
        <v>1210</v>
      </c>
      <c r="Z226" s="1" t="s">
        <v>1210</v>
      </c>
    </row>
    <row r="227" spans="1:26">
      <c r="A227" s="1" t="s">
        <v>1221</v>
      </c>
      <c r="B227" s="1" t="s">
        <v>1210</v>
      </c>
      <c r="C227" s="1" t="s">
        <v>1210</v>
      </c>
      <c r="D227" s="1" t="s">
        <v>1210</v>
      </c>
      <c r="E227" s="1" t="s">
        <v>1210</v>
      </c>
      <c r="F227" s="1" t="s">
        <v>1210</v>
      </c>
      <c r="G227" s="1" t="s">
        <v>1210</v>
      </c>
      <c r="H227" s="1" t="s">
        <v>1210</v>
      </c>
      <c r="I227" s="1" t="s">
        <v>1210</v>
      </c>
      <c r="J227" s="1" t="s">
        <v>1210</v>
      </c>
      <c r="K227" s="1" t="s">
        <v>1210</v>
      </c>
      <c r="L227" s="1" t="s">
        <v>1210</v>
      </c>
      <c r="M227" s="1" t="s">
        <v>1210</v>
      </c>
      <c r="N227" s="1" t="s">
        <v>1210</v>
      </c>
      <c r="O227" s="1" t="s">
        <v>1210</v>
      </c>
      <c r="P227" s="1" t="s">
        <v>1210</v>
      </c>
      <c r="Q227" s="1" t="s">
        <v>1210</v>
      </c>
      <c r="R227" s="1" t="s">
        <v>1210</v>
      </c>
      <c r="S227" s="1" t="s">
        <v>1210</v>
      </c>
      <c r="T227" s="1" t="s">
        <v>1210</v>
      </c>
      <c r="U227" s="1" t="s">
        <v>1210</v>
      </c>
      <c r="V227" s="1" t="s">
        <v>1210</v>
      </c>
      <c r="W227" s="1" t="s">
        <v>1210</v>
      </c>
      <c r="X227" s="1" t="s">
        <v>1210</v>
      </c>
      <c r="Y227" s="1" t="s">
        <v>1210</v>
      </c>
      <c r="Z227" s="1" t="s">
        <v>1210</v>
      </c>
    </row>
    <row r="228" spans="1:26">
      <c r="A228" s="1" t="s">
        <v>579</v>
      </c>
      <c r="B228" s="1" t="s">
        <v>1210</v>
      </c>
      <c r="C228" s="1" t="s">
        <v>1210</v>
      </c>
      <c r="D228" s="1" t="s">
        <v>1210</v>
      </c>
      <c r="E228" s="1">
        <v>0.938283072395239</v>
      </c>
      <c r="F228" s="1">
        <v>1.08270508132601</v>
      </c>
      <c r="G228" s="1">
        <v>1.11653308564468</v>
      </c>
      <c r="H228" s="1">
        <v>1.0575589962396501</v>
      </c>
      <c r="I228" s="1">
        <v>0.88404792718496095</v>
      </c>
      <c r="J228" s="1">
        <v>0.80392164774760499</v>
      </c>
      <c r="K228" s="1">
        <v>0.80380019216141596</v>
      </c>
      <c r="L228" s="1">
        <v>0.79643273094909595</v>
      </c>
      <c r="M228" s="1">
        <v>0.72967239998408795</v>
      </c>
      <c r="N228" s="1">
        <v>0.67992268004272904</v>
      </c>
      <c r="O228" s="1">
        <v>0.71695770201613596</v>
      </c>
      <c r="P228" s="1">
        <v>0.75430899010597896</v>
      </c>
      <c r="Q228" s="1">
        <v>0.71841389865332195</v>
      </c>
      <c r="R228" s="1">
        <v>0.77833812041681205</v>
      </c>
      <c r="S228" s="1">
        <v>0.75294512270200198</v>
      </c>
      <c r="T228" s="1">
        <v>0.75272819693259096</v>
      </c>
      <c r="U228" s="1">
        <v>0.90129642336709603</v>
      </c>
      <c r="V228" s="1">
        <v>0.90342143625728799</v>
      </c>
      <c r="W228" s="1">
        <v>0.88520550826938005</v>
      </c>
      <c r="X228" s="1">
        <v>0.84677266710809596</v>
      </c>
      <c r="Y228" s="1">
        <v>0.893276257067393</v>
      </c>
      <c r="Z228" s="1">
        <v>0.87550639698798305</v>
      </c>
    </row>
    <row r="229" spans="1:26">
      <c r="A229" s="1" t="s">
        <v>1222</v>
      </c>
      <c r="B229" s="1" t="s">
        <v>1210</v>
      </c>
      <c r="C229" s="1" t="s">
        <v>1210</v>
      </c>
      <c r="D229" s="1" t="s">
        <v>1210</v>
      </c>
      <c r="E229" s="1" t="s">
        <v>1210</v>
      </c>
      <c r="F229" s="1" t="s">
        <v>1210</v>
      </c>
      <c r="G229" s="1" t="s">
        <v>1210</v>
      </c>
      <c r="H229" s="1" t="s">
        <v>1210</v>
      </c>
      <c r="I229" s="1" t="s">
        <v>1210</v>
      </c>
      <c r="J229" s="1" t="s">
        <v>1210</v>
      </c>
      <c r="K229" s="1" t="s">
        <v>1210</v>
      </c>
      <c r="L229" s="1" t="s">
        <v>1210</v>
      </c>
      <c r="M229" s="1" t="s">
        <v>1210</v>
      </c>
      <c r="N229" s="1" t="s">
        <v>1210</v>
      </c>
      <c r="O229" s="1" t="s">
        <v>1210</v>
      </c>
      <c r="P229" s="1" t="s">
        <v>1210</v>
      </c>
      <c r="Q229" s="1" t="s">
        <v>1210</v>
      </c>
      <c r="R229" s="1" t="s">
        <v>1210</v>
      </c>
      <c r="S229" s="1" t="s">
        <v>1210</v>
      </c>
      <c r="T229" s="1" t="s">
        <v>1210</v>
      </c>
      <c r="U229" s="1" t="s">
        <v>1210</v>
      </c>
      <c r="V229" s="1" t="s">
        <v>1210</v>
      </c>
      <c r="W229" s="1" t="s">
        <v>1210</v>
      </c>
      <c r="X229" s="1" t="s">
        <v>1210</v>
      </c>
      <c r="Y229" s="1" t="s">
        <v>1210</v>
      </c>
      <c r="Z229" s="1" t="s">
        <v>1210</v>
      </c>
    </row>
    <row r="230" spans="1:26">
      <c r="A230" s="1" t="s">
        <v>1223</v>
      </c>
      <c r="B230" s="1" t="s">
        <v>1210</v>
      </c>
      <c r="C230" s="1" t="s">
        <v>1210</v>
      </c>
      <c r="D230" s="1" t="s">
        <v>1210</v>
      </c>
      <c r="E230" s="1" t="s">
        <v>1210</v>
      </c>
      <c r="F230" s="1" t="s">
        <v>1210</v>
      </c>
      <c r="G230" s="1" t="s">
        <v>1210</v>
      </c>
      <c r="H230" s="1" t="s">
        <v>1210</v>
      </c>
      <c r="I230" s="1" t="s">
        <v>1210</v>
      </c>
      <c r="J230" s="1" t="s">
        <v>1210</v>
      </c>
      <c r="K230" s="1" t="s">
        <v>1210</v>
      </c>
      <c r="L230" s="1" t="s">
        <v>1210</v>
      </c>
      <c r="M230" s="1" t="s">
        <v>1210</v>
      </c>
      <c r="N230" s="1" t="s">
        <v>1210</v>
      </c>
      <c r="O230" s="1" t="s">
        <v>1210</v>
      </c>
      <c r="P230" s="1" t="s">
        <v>1210</v>
      </c>
      <c r="Q230" s="1" t="s">
        <v>1210</v>
      </c>
      <c r="R230" s="1" t="s">
        <v>1210</v>
      </c>
      <c r="S230" s="1" t="s">
        <v>1210</v>
      </c>
      <c r="T230" s="1" t="s">
        <v>1210</v>
      </c>
      <c r="U230" s="1" t="s">
        <v>1210</v>
      </c>
      <c r="V230" s="1" t="s">
        <v>1210</v>
      </c>
      <c r="W230" s="1" t="s">
        <v>1210</v>
      </c>
      <c r="X230" s="1" t="s">
        <v>1210</v>
      </c>
      <c r="Y230" s="1" t="s">
        <v>1210</v>
      </c>
      <c r="Z230" s="1" t="s">
        <v>1210</v>
      </c>
    </row>
    <row r="231" spans="1:26">
      <c r="A231" s="1" t="s">
        <v>1224</v>
      </c>
      <c r="B231" s="1" t="s">
        <v>1210</v>
      </c>
      <c r="C231" s="1" t="s">
        <v>1210</v>
      </c>
      <c r="D231" s="1" t="s">
        <v>1210</v>
      </c>
      <c r="E231" s="1" t="s">
        <v>1210</v>
      </c>
      <c r="F231" s="1" t="s">
        <v>1210</v>
      </c>
      <c r="G231" s="1" t="s">
        <v>1210</v>
      </c>
      <c r="H231" s="1" t="s">
        <v>1210</v>
      </c>
      <c r="I231" s="1" t="s">
        <v>1210</v>
      </c>
      <c r="J231" s="1" t="s">
        <v>1210</v>
      </c>
      <c r="K231" s="1" t="s">
        <v>1210</v>
      </c>
      <c r="L231" s="1" t="s">
        <v>1210</v>
      </c>
      <c r="M231" s="1" t="s">
        <v>1210</v>
      </c>
      <c r="N231" s="1" t="s">
        <v>1210</v>
      </c>
      <c r="O231" s="1" t="s">
        <v>1210</v>
      </c>
      <c r="P231" s="1" t="s">
        <v>1210</v>
      </c>
      <c r="Q231" s="1" t="s">
        <v>1210</v>
      </c>
      <c r="R231" s="1" t="s">
        <v>1210</v>
      </c>
      <c r="S231" s="1" t="s">
        <v>1210</v>
      </c>
      <c r="T231" s="1" t="s">
        <v>1210</v>
      </c>
      <c r="U231" s="1" t="s">
        <v>1210</v>
      </c>
      <c r="V231" s="1" t="s">
        <v>1210</v>
      </c>
      <c r="W231" s="1" t="s">
        <v>1210</v>
      </c>
      <c r="X231" s="1" t="s">
        <v>1210</v>
      </c>
      <c r="Y231" s="1" t="s">
        <v>1210</v>
      </c>
      <c r="Z231" s="1" t="s">
        <v>1210</v>
      </c>
    </row>
    <row r="232" spans="1:26">
      <c r="A232" s="1" t="s">
        <v>1225</v>
      </c>
      <c r="B232" s="1" t="s">
        <v>1210</v>
      </c>
      <c r="C232" s="1" t="s">
        <v>1210</v>
      </c>
      <c r="D232" s="1" t="s">
        <v>1210</v>
      </c>
      <c r="E232" s="1" t="s">
        <v>1210</v>
      </c>
      <c r="F232" s="1" t="s">
        <v>1210</v>
      </c>
      <c r="G232" s="1" t="s">
        <v>1210</v>
      </c>
      <c r="H232" s="1" t="s">
        <v>1210</v>
      </c>
      <c r="I232" s="1" t="s">
        <v>1210</v>
      </c>
      <c r="J232" s="1" t="s">
        <v>1210</v>
      </c>
      <c r="K232" s="1" t="s">
        <v>1210</v>
      </c>
      <c r="L232" s="1" t="s">
        <v>1210</v>
      </c>
      <c r="M232" s="1" t="s">
        <v>1210</v>
      </c>
      <c r="N232" s="1" t="s">
        <v>1210</v>
      </c>
      <c r="O232" s="1" t="s">
        <v>1210</v>
      </c>
      <c r="P232" s="1" t="s">
        <v>1210</v>
      </c>
      <c r="Q232" s="1" t="s">
        <v>1210</v>
      </c>
      <c r="R232" s="1" t="s">
        <v>1210</v>
      </c>
      <c r="S232" s="1" t="s">
        <v>1210</v>
      </c>
      <c r="T232" s="1" t="s">
        <v>1210</v>
      </c>
      <c r="U232" s="1" t="s">
        <v>1210</v>
      </c>
      <c r="V232" s="1" t="s">
        <v>1210</v>
      </c>
      <c r="W232" s="1" t="s">
        <v>1210</v>
      </c>
      <c r="X232" s="1" t="s">
        <v>1210</v>
      </c>
      <c r="Y232" s="1" t="s">
        <v>1210</v>
      </c>
      <c r="Z232" s="1" t="s">
        <v>1210</v>
      </c>
    </row>
    <row r="233" spans="1:26">
      <c r="A233" s="1" t="s">
        <v>1226</v>
      </c>
      <c r="B233" s="1" t="s">
        <v>1210</v>
      </c>
      <c r="C233" s="1" t="s">
        <v>1210</v>
      </c>
      <c r="D233" s="1" t="s">
        <v>1210</v>
      </c>
      <c r="E233" s="1" t="s">
        <v>1210</v>
      </c>
      <c r="F233" s="1" t="s">
        <v>1210</v>
      </c>
      <c r="G233" s="1" t="s">
        <v>1210</v>
      </c>
      <c r="H233" s="1" t="s">
        <v>1210</v>
      </c>
      <c r="I233" s="1" t="s">
        <v>1210</v>
      </c>
      <c r="J233" s="1" t="s">
        <v>1210</v>
      </c>
      <c r="K233" s="1" t="s">
        <v>1210</v>
      </c>
      <c r="L233" s="1" t="s">
        <v>1210</v>
      </c>
      <c r="M233" s="1" t="s">
        <v>1210</v>
      </c>
      <c r="N233" s="1" t="s">
        <v>1210</v>
      </c>
      <c r="O233" s="1" t="s">
        <v>1210</v>
      </c>
      <c r="P233" s="1" t="s">
        <v>1210</v>
      </c>
      <c r="Q233" s="1" t="s">
        <v>1210</v>
      </c>
      <c r="R233" s="1" t="s">
        <v>1210</v>
      </c>
      <c r="S233" s="1" t="s">
        <v>1210</v>
      </c>
      <c r="T233" s="1" t="s">
        <v>1210</v>
      </c>
      <c r="U233" s="1" t="s">
        <v>1210</v>
      </c>
      <c r="V233" s="1" t="s">
        <v>1210</v>
      </c>
      <c r="W233" s="1" t="s">
        <v>1210</v>
      </c>
      <c r="X233" s="1" t="s">
        <v>1210</v>
      </c>
      <c r="Y233" s="1" t="s">
        <v>1210</v>
      </c>
      <c r="Z233" s="1" t="s">
        <v>1210</v>
      </c>
    </row>
    <row r="234" spans="1:26">
      <c r="A234" s="1" t="s">
        <v>1227</v>
      </c>
      <c r="B234" s="1" t="s">
        <v>1210</v>
      </c>
      <c r="C234" s="1" t="s">
        <v>1210</v>
      </c>
      <c r="D234" s="1" t="s">
        <v>1210</v>
      </c>
      <c r="E234" s="1" t="s">
        <v>1210</v>
      </c>
      <c r="F234" s="1" t="s">
        <v>1210</v>
      </c>
      <c r="G234" s="1" t="s">
        <v>1210</v>
      </c>
      <c r="H234" s="1" t="s">
        <v>1210</v>
      </c>
      <c r="I234" s="1" t="s">
        <v>1210</v>
      </c>
      <c r="J234" s="1" t="s">
        <v>1210</v>
      </c>
      <c r="K234" s="1" t="s">
        <v>1210</v>
      </c>
      <c r="L234" s="1" t="s">
        <v>1210</v>
      </c>
      <c r="M234" s="1" t="s">
        <v>1210</v>
      </c>
      <c r="N234" s="1" t="s">
        <v>1210</v>
      </c>
      <c r="O234" s="1" t="s">
        <v>1210</v>
      </c>
      <c r="P234" s="1" t="s">
        <v>1210</v>
      </c>
      <c r="Q234" s="1" t="s">
        <v>1210</v>
      </c>
      <c r="R234" s="1" t="s">
        <v>1210</v>
      </c>
      <c r="S234" s="1" t="s">
        <v>1210</v>
      </c>
      <c r="T234" s="1" t="s">
        <v>1210</v>
      </c>
      <c r="U234" s="1" t="s">
        <v>1210</v>
      </c>
      <c r="V234" s="1" t="s">
        <v>1210</v>
      </c>
      <c r="W234" s="1" t="s">
        <v>1210</v>
      </c>
      <c r="X234" s="1" t="s">
        <v>1210</v>
      </c>
      <c r="Y234" s="1" t="s">
        <v>1210</v>
      </c>
      <c r="Z234" s="1" t="s">
        <v>1210</v>
      </c>
    </row>
    <row r="235" spans="1:26">
      <c r="A235" s="1" t="s">
        <v>1179</v>
      </c>
      <c r="B235" s="1" t="s">
        <v>1210</v>
      </c>
      <c r="C235" s="1" t="s">
        <v>1210</v>
      </c>
      <c r="D235" s="1" t="s">
        <v>1210</v>
      </c>
      <c r="E235" s="1" t="s">
        <v>1210</v>
      </c>
      <c r="F235" s="1" t="s">
        <v>1210</v>
      </c>
      <c r="G235" s="1" t="s">
        <v>1210</v>
      </c>
      <c r="H235" s="1" t="s">
        <v>1210</v>
      </c>
      <c r="I235" s="1" t="s">
        <v>1210</v>
      </c>
      <c r="J235" s="1" t="s">
        <v>1210</v>
      </c>
      <c r="K235" s="1" t="s">
        <v>1210</v>
      </c>
      <c r="L235" s="1" t="s">
        <v>1210</v>
      </c>
      <c r="M235" s="1" t="s">
        <v>1210</v>
      </c>
      <c r="N235" s="1" t="s">
        <v>1210</v>
      </c>
      <c r="O235" s="1" t="s">
        <v>1210</v>
      </c>
      <c r="P235" s="1" t="s">
        <v>1210</v>
      </c>
      <c r="Q235" s="1" t="s">
        <v>1210</v>
      </c>
      <c r="R235" s="1" t="s">
        <v>1210</v>
      </c>
      <c r="S235" s="1" t="s">
        <v>1210</v>
      </c>
      <c r="T235" s="1" t="s">
        <v>1210</v>
      </c>
      <c r="U235" s="1" t="s">
        <v>1210</v>
      </c>
      <c r="V235" s="1" t="s">
        <v>1210</v>
      </c>
      <c r="W235" s="1" t="s">
        <v>1210</v>
      </c>
      <c r="X235" s="1" t="s">
        <v>1210</v>
      </c>
      <c r="Y235" s="1" t="s">
        <v>1210</v>
      </c>
      <c r="Z235" s="1" t="s">
        <v>1210</v>
      </c>
    </row>
    <row r="236" spans="1:26">
      <c r="A236" s="1" t="s">
        <v>1228</v>
      </c>
      <c r="B236" s="1" t="s">
        <v>1210</v>
      </c>
      <c r="C236" s="1" t="s">
        <v>1210</v>
      </c>
      <c r="D236" s="1" t="s">
        <v>1210</v>
      </c>
      <c r="E236" s="1" t="s">
        <v>1210</v>
      </c>
      <c r="F236" s="1" t="s">
        <v>1210</v>
      </c>
      <c r="G236" s="1" t="s">
        <v>1210</v>
      </c>
      <c r="H236" s="1" t="s">
        <v>1210</v>
      </c>
      <c r="I236" s="1" t="s">
        <v>1210</v>
      </c>
      <c r="J236" s="1" t="s">
        <v>1210</v>
      </c>
      <c r="K236" s="1" t="s">
        <v>1210</v>
      </c>
      <c r="L236" s="1" t="s">
        <v>1210</v>
      </c>
      <c r="M236" s="1" t="s">
        <v>1210</v>
      </c>
      <c r="N236" s="1" t="s">
        <v>1210</v>
      </c>
      <c r="O236" s="1" t="s">
        <v>1210</v>
      </c>
      <c r="P236" s="1" t="s">
        <v>1210</v>
      </c>
      <c r="Q236" s="1" t="s">
        <v>1210</v>
      </c>
      <c r="R236" s="1" t="s">
        <v>1210</v>
      </c>
      <c r="S236" s="1" t="s">
        <v>1210</v>
      </c>
      <c r="T236" s="1" t="s">
        <v>1210</v>
      </c>
      <c r="U236" s="1" t="s">
        <v>1210</v>
      </c>
      <c r="V236" s="1" t="s">
        <v>1210</v>
      </c>
      <c r="W236" s="1" t="s">
        <v>1210</v>
      </c>
      <c r="X236" s="1" t="s">
        <v>1210</v>
      </c>
      <c r="Y236" s="1" t="s">
        <v>1210</v>
      </c>
      <c r="Z236" s="1" t="s">
        <v>1210</v>
      </c>
    </row>
    <row r="237" spans="1:26">
      <c r="A237" s="1" t="s">
        <v>1229</v>
      </c>
      <c r="B237" s="1" t="s">
        <v>1210</v>
      </c>
      <c r="C237" s="1" t="s">
        <v>1210</v>
      </c>
      <c r="D237" s="1" t="s">
        <v>1210</v>
      </c>
      <c r="E237" s="1" t="s">
        <v>1210</v>
      </c>
      <c r="F237" s="1" t="s">
        <v>1210</v>
      </c>
      <c r="G237" s="1" t="s">
        <v>1210</v>
      </c>
      <c r="H237" s="1" t="s">
        <v>1210</v>
      </c>
      <c r="I237" s="1" t="s">
        <v>1210</v>
      </c>
      <c r="J237" s="1" t="s">
        <v>1210</v>
      </c>
      <c r="K237" s="1" t="s">
        <v>1210</v>
      </c>
      <c r="L237" s="1" t="s">
        <v>1210</v>
      </c>
      <c r="M237" s="1" t="s">
        <v>1210</v>
      </c>
      <c r="N237" s="1" t="s">
        <v>1210</v>
      </c>
      <c r="O237" s="1" t="s">
        <v>1210</v>
      </c>
      <c r="P237" s="1" t="s">
        <v>1210</v>
      </c>
      <c r="Q237" s="1" t="s">
        <v>1210</v>
      </c>
      <c r="R237" s="1" t="s">
        <v>1210</v>
      </c>
      <c r="S237" s="1" t="s">
        <v>1210</v>
      </c>
      <c r="T237" s="1" t="s">
        <v>1210</v>
      </c>
      <c r="U237" s="1" t="s">
        <v>1210</v>
      </c>
      <c r="V237" s="1" t="s">
        <v>1210</v>
      </c>
      <c r="W237" s="1" t="s">
        <v>1210</v>
      </c>
      <c r="X237" s="1" t="s">
        <v>1210</v>
      </c>
      <c r="Y237" s="1" t="s">
        <v>1210</v>
      </c>
      <c r="Z237" s="1" t="s">
        <v>1210</v>
      </c>
    </row>
    <row r="238" spans="1:26">
      <c r="A238" s="1" t="s">
        <v>1230</v>
      </c>
      <c r="B238" s="1" t="s">
        <v>1210</v>
      </c>
      <c r="C238" s="1" t="s">
        <v>1210</v>
      </c>
      <c r="D238" s="1" t="s">
        <v>1210</v>
      </c>
      <c r="E238" s="1" t="s">
        <v>1210</v>
      </c>
      <c r="F238" s="1" t="s">
        <v>1210</v>
      </c>
      <c r="G238" s="1" t="s">
        <v>1210</v>
      </c>
      <c r="H238" s="1" t="s">
        <v>1210</v>
      </c>
      <c r="I238" s="1" t="s">
        <v>1210</v>
      </c>
      <c r="J238" s="1" t="s">
        <v>1210</v>
      </c>
      <c r="K238" s="1" t="s">
        <v>1210</v>
      </c>
      <c r="L238" s="1" t="s">
        <v>1210</v>
      </c>
      <c r="M238" s="1" t="s">
        <v>1210</v>
      </c>
      <c r="N238" s="1" t="s">
        <v>1210</v>
      </c>
      <c r="O238" s="1" t="s">
        <v>1210</v>
      </c>
      <c r="P238" s="1" t="s">
        <v>1210</v>
      </c>
      <c r="Q238" s="1" t="s">
        <v>1210</v>
      </c>
      <c r="R238" s="1" t="s">
        <v>1210</v>
      </c>
      <c r="S238" s="1" t="s">
        <v>1210</v>
      </c>
      <c r="T238" s="1" t="s">
        <v>1210</v>
      </c>
      <c r="U238" s="1" t="s">
        <v>1210</v>
      </c>
      <c r="V238" s="1" t="s">
        <v>1210</v>
      </c>
      <c r="W238" s="1" t="s">
        <v>1210</v>
      </c>
      <c r="X238" s="1" t="s">
        <v>1210</v>
      </c>
      <c r="Y238" s="1" t="s">
        <v>1210</v>
      </c>
      <c r="Z238" s="1" t="s">
        <v>1210</v>
      </c>
    </row>
    <row r="239" spans="1:26">
      <c r="A239" s="1" t="s">
        <v>1231</v>
      </c>
      <c r="B239" s="1" t="s">
        <v>1210</v>
      </c>
      <c r="C239" s="1" t="s">
        <v>1210</v>
      </c>
      <c r="D239" s="1" t="s">
        <v>1210</v>
      </c>
      <c r="E239" s="1" t="s">
        <v>1210</v>
      </c>
      <c r="F239" s="1" t="s">
        <v>1210</v>
      </c>
      <c r="G239" s="1" t="s">
        <v>1210</v>
      </c>
      <c r="H239" s="1" t="s">
        <v>1210</v>
      </c>
      <c r="I239" s="1" t="s">
        <v>1210</v>
      </c>
      <c r="J239" s="1" t="s">
        <v>1210</v>
      </c>
      <c r="K239" s="1" t="s">
        <v>1210</v>
      </c>
      <c r="L239" s="1" t="s">
        <v>1210</v>
      </c>
      <c r="M239" s="1" t="s">
        <v>1210</v>
      </c>
      <c r="N239" s="1" t="s">
        <v>1210</v>
      </c>
      <c r="O239" s="1" t="s">
        <v>1210</v>
      </c>
      <c r="P239" s="1" t="s">
        <v>1210</v>
      </c>
      <c r="Q239" s="1" t="s">
        <v>1210</v>
      </c>
      <c r="R239" s="1" t="s">
        <v>1210</v>
      </c>
      <c r="S239" s="1" t="s">
        <v>1210</v>
      </c>
      <c r="T239" s="1" t="s">
        <v>1210</v>
      </c>
      <c r="U239" s="1" t="s">
        <v>1210</v>
      </c>
      <c r="V239" s="1" t="s">
        <v>1210</v>
      </c>
      <c r="W239" s="1" t="s">
        <v>1210</v>
      </c>
      <c r="X239" s="1" t="s">
        <v>1210</v>
      </c>
      <c r="Y239" s="1" t="s">
        <v>1210</v>
      </c>
      <c r="Z239" s="1" t="s">
        <v>1210</v>
      </c>
    </row>
    <row r="240" spans="1:26">
      <c r="A240" s="1" t="s">
        <v>1232</v>
      </c>
      <c r="B240" s="1" t="s">
        <v>1210</v>
      </c>
      <c r="C240" s="1" t="s">
        <v>1210</v>
      </c>
      <c r="D240" s="1" t="s">
        <v>1210</v>
      </c>
      <c r="E240" s="1" t="s">
        <v>1210</v>
      </c>
      <c r="F240" s="1" t="s">
        <v>1210</v>
      </c>
      <c r="G240" s="1" t="s">
        <v>1210</v>
      </c>
      <c r="H240" s="1" t="s">
        <v>1210</v>
      </c>
      <c r="I240" s="1" t="s">
        <v>1210</v>
      </c>
      <c r="J240" s="1" t="s">
        <v>1210</v>
      </c>
      <c r="K240" s="1" t="s">
        <v>1210</v>
      </c>
      <c r="L240" s="1" t="s">
        <v>1210</v>
      </c>
      <c r="M240" s="1" t="s">
        <v>1210</v>
      </c>
      <c r="N240" s="1" t="s">
        <v>1210</v>
      </c>
      <c r="O240" s="1" t="s">
        <v>1210</v>
      </c>
      <c r="P240" s="1" t="s">
        <v>1210</v>
      </c>
      <c r="Q240" s="1" t="s">
        <v>1210</v>
      </c>
      <c r="R240" s="1" t="s">
        <v>1210</v>
      </c>
      <c r="S240" s="1" t="s">
        <v>1210</v>
      </c>
      <c r="T240" s="1" t="s">
        <v>1210</v>
      </c>
      <c r="U240" s="1" t="s">
        <v>1210</v>
      </c>
      <c r="V240" s="1" t="s">
        <v>1210</v>
      </c>
      <c r="W240" s="1" t="s">
        <v>1210</v>
      </c>
      <c r="X240" s="1" t="s">
        <v>1210</v>
      </c>
      <c r="Y240" s="1" t="s">
        <v>1210</v>
      </c>
      <c r="Z240" s="1" t="s">
        <v>1210</v>
      </c>
    </row>
    <row r="241" spans="1:26">
      <c r="A241" s="1" t="s">
        <v>1233</v>
      </c>
      <c r="B241" s="1" t="s">
        <v>1210</v>
      </c>
      <c r="C241" s="1" t="s">
        <v>1210</v>
      </c>
      <c r="D241" s="1" t="s">
        <v>1210</v>
      </c>
      <c r="E241" s="1" t="s">
        <v>1210</v>
      </c>
      <c r="F241" s="1" t="s">
        <v>1210</v>
      </c>
      <c r="G241" s="1" t="s">
        <v>1210</v>
      </c>
      <c r="H241" s="1" t="s">
        <v>1210</v>
      </c>
      <c r="I241" s="1" t="s">
        <v>1210</v>
      </c>
      <c r="J241" s="1" t="s">
        <v>1210</v>
      </c>
      <c r="K241" s="1" t="s">
        <v>1210</v>
      </c>
      <c r="L241" s="1" t="s">
        <v>1210</v>
      </c>
      <c r="M241" s="1" t="s">
        <v>1210</v>
      </c>
      <c r="N241" s="1" t="s">
        <v>1210</v>
      </c>
      <c r="O241" s="1" t="s">
        <v>1210</v>
      </c>
      <c r="P241" s="1" t="s">
        <v>1210</v>
      </c>
      <c r="Q241" s="1" t="s">
        <v>1210</v>
      </c>
      <c r="R241" s="1" t="s">
        <v>1210</v>
      </c>
      <c r="S241" s="1" t="s">
        <v>1210</v>
      </c>
      <c r="T241" s="1" t="s">
        <v>1210</v>
      </c>
      <c r="U241" s="1" t="s">
        <v>1210</v>
      </c>
      <c r="V241" s="1" t="s">
        <v>1210</v>
      </c>
      <c r="W241" s="1" t="s">
        <v>1210</v>
      </c>
      <c r="X241" s="1" t="s">
        <v>1210</v>
      </c>
      <c r="Y241" s="1" t="s">
        <v>1210</v>
      </c>
      <c r="Z241" s="1" t="s">
        <v>1210</v>
      </c>
    </row>
    <row r="242" spans="1:26">
      <c r="A242" s="1" t="s">
        <v>1183</v>
      </c>
      <c r="B242" s="1" t="s">
        <v>1210</v>
      </c>
      <c r="C242" s="1" t="s">
        <v>1210</v>
      </c>
      <c r="D242" s="1" t="s">
        <v>1210</v>
      </c>
      <c r="E242" s="1" t="s">
        <v>1210</v>
      </c>
      <c r="F242" s="1" t="s">
        <v>1210</v>
      </c>
      <c r="G242" s="1" t="s">
        <v>1210</v>
      </c>
      <c r="H242" s="1" t="s">
        <v>1210</v>
      </c>
      <c r="I242" s="1" t="s">
        <v>1210</v>
      </c>
      <c r="J242" s="1" t="s">
        <v>1210</v>
      </c>
      <c r="K242" s="1" t="s">
        <v>1210</v>
      </c>
      <c r="L242" s="1" t="s">
        <v>1210</v>
      </c>
      <c r="M242" s="1" t="s">
        <v>1210</v>
      </c>
      <c r="N242" s="1" t="s">
        <v>1210</v>
      </c>
      <c r="O242" s="1" t="s">
        <v>1210</v>
      </c>
      <c r="P242" s="1" t="s">
        <v>1210</v>
      </c>
      <c r="Q242" s="1" t="s">
        <v>1210</v>
      </c>
      <c r="R242" s="1" t="s">
        <v>1210</v>
      </c>
      <c r="S242" s="1" t="s">
        <v>1210</v>
      </c>
      <c r="T242" s="1" t="s">
        <v>1210</v>
      </c>
      <c r="U242" s="1" t="s">
        <v>1210</v>
      </c>
      <c r="V242" s="1" t="s">
        <v>1210</v>
      </c>
      <c r="W242" s="1" t="s">
        <v>1210</v>
      </c>
      <c r="X242" s="1" t="s">
        <v>1210</v>
      </c>
      <c r="Y242" s="1" t="s">
        <v>1210</v>
      </c>
      <c r="Z242" s="1" t="s">
        <v>1210</v>
      </c>
    </row>
    <row r="243" spans="1:26">
      <c r="A243" s="1" t="s">
        <v>1234</v>
      </c>
      <c r="B243" s="1" t="s">
        <v>1210</v>
      </c>
      <c r="C243" s="1" t="s">
        <v>1210</v>
      </c>
      <c r="D243" s="1" t="s">
        <v>1210</v>
      </c>
      <c r="E243" s="1" t="s">
        <v>1210</v>
      </c>
      <c r="F243" s="1" t="s">
        <v>1210</v>
      </c>
      <c r="G243" s="1" t="s">
        <v>1210</v>
      </c>
      <c r="H243" s="1" t="s">
        <v>1210</v>
      </c>
      <c r="I243" s="1" t="s">
        <v>1210</v>
      </c>
      <c r="J243" s="1" t="s">
        <v>1210</v>
      </c>
      <c r="K243" s="1" t="s">
        <v>1210</v>
      </c>
      <c r="L243" s="1" t="s">
        <v>1210</v>
      </c>
      <c r="M243" s="1" t="s">
        <v>1210</v>
      </c>
      <c r="N243" s="1" t="s">
        <v>1210</v>
      </c>
      <c r="O243" s="1" t="s">
        <v>1210</v>
      </c>
      <c r="P243" s="1" t="s">
        <v>1210</v>
      </c>
      <c r="Q243" s="1" t="s">
        <v>1210</v>
      </c>
      <c r="R243" s="1" t="s">
        <v>1210</v>
      </c>
      <c r="S243" s="1" t="s">
        <v>1210</v>
      </c>
      <c r="T243" s="1" t="s">
        <v>1210</v>
      </c>
      <c r="U243" s="1" t="s">
        <v>1210</v>
      </c>
      <c r="V243" s="1" t="s">
        <v>1210</v>
      </c>
      <c r="W243" s="1" t="s">
        <v>1210</v>
      </c>
      <c r="X243" s="1" t="s">
        <v>1210</v>
      </c>
      <c r="Y243" s="1" t="s">
        <v>1210</v>
      </c>
      <c r="Z243" s="1" t="s">
        <v>1210</v>
      </c>
    </row>
    <row r="244" spans="1:26">
      <c r="A244" s="1" t="s">
        <v>1235</v>
      </c>
      <c r="B244" s="1" t="s">
        <v>1210</v>
      </c>
      <c r="C244" s="1" t="s">
        <v>1210</v>
      </c>
      <c r="D244" s="1" t="s">
        <v>1210</v>
      </c>
      <c r="E244" s="1" t="s">
        <v>1210</v>
      </c>
      <c r="F244" s="1" t="s">
        <v>1210</v>
      </c>
      <c r="G244" s="1" t="s">
        <v>1210</v>
      </c>
      <c r="H244" s="1" t="s">
        <v>1210</v>
      </c>
      <c r="I244" s="1" t="s">
        <v>1210</v>
      </c>
      <c r="J244" s="1" t="s">
        <v>1210</v>
      </c>
      <c r="K244" s="1" t="s">
        <v>1210</v>
      </c>
      <c r="L244" s="1" t="s">
        <v>1210</v>
      </c>
      <c r="M244" s="1" t="s">
        <v>1210</v>
      </c>
      <c r="N244" s="1" t="s">
        <v>1210</v>
      </c>
      <c r="O244" s="1" t="s">
        <v>1210</v>
      </c>
      <c r="P244" s="1" t="s">
        <v>1210</v>
      </c>
      <c r="Q244" s="1" t="s">
        <v>1210</v>
      </c>
      <c r="R244" s="1" t="s">
        <v>1210</v>
      </c>
      <c r="S244" s="1" t="s">
        <v>1210</v>
      </c>
      <c r="T244" s="1" t="s">
        <v>1210</v>
      </c>
      <c r="U244" s="1" t="s">
        <v>1210</v>
      </c>
      <c r="V244" s="1" t="s">
        <v>1210</v>
      </c>
      <c r="W244" s="1" t="s">
        <v>1210</v>
      </c>
      <c r="X244" s="1" t="s">
        <v>1210</v>
      </c>
      <c r="Y244" s="1" t="s">
        <v>1210</v>
      </c>
      <c r="Z244" s="1" t="s">
        <v>1210</v>
      </c>
    </row>
    <row r="245" spans="1:26">
      <c r="A245" s="1" t="s">
        <v>1184</v>
      </c>
      <c r="B245" s="1" t="s">
        <v>1210</v>
      </c>
      <c r="C245" s="1" t="s">
        <v>1210</v>
      </c>
      <c r="D245" s="1" t="s">
        <v>1210</v>
      </c>
      <c r="E245" s="1" t="s">
        <v>1210</v>
      </c>
      <c r="F245" s="1" t="s">
        <v>1210</v>
      </c>
      <c r="G245" s="1" t="s">
        <v>1210</v>
      </c>
      <c r="H245" s="1" t="s">
        <v>1210</v>
      </c>
      <c r="I245" s="1" t="s">
        <v>1210</v>
      </c>
      <c r="J245" s="1" t="s">
        <v>1210</v>
      </c>
      <c r="K245" s="1" t="s">
        <v>1210</v>
      </c>
      <c r="L245" s="1" t="s">
        <v>1210</v>
      </c>
      <c r="M245" s="1" t="s">
        <v>1210</v>
      </c>
      <c r="N245" s="1" t="s">
        <v>1210</v>
      </c>
      <c r="O245" s="1" t="s">
        <v>1210</v>
      </c>
      <c r="P245" s="1" t="s">
        <v>1210</v>
      </c>
      <c r="Q245" s="1" t="s">
        <v>1210</v>
      </c>
      <c r="R245" s="1" t="s">
        <v>1210</v>
      </c>
      <c r="S245" s="1" t="s">
        <v>1210</v>
      </c>
      <c r="T245" s="1" t="s">
        <v>1210</v>
      </c>
      <c r="U245" s="1" t="s">
        <v>1210</v>
      </c>
      <c r="V245" s="1" t="s">
        <v>1210</v>
      </c>
      <c r="W245" s="1" t="s">
        <v>1210</v>
      </c>
      <c r="X245" s="1" t="s">
        <v>1210</v>
      </c>
      <c r="Y245" s="1" t="s">
        <v>1210</v>
      </c>
      <c r="Z245" s="1" t="s">
        <v>1210</v>
      </c>
    </row>
    <row r="246" spans="1:26">
      <c r="A246" s="1" t="s">
        <v>1236</v>
      </c>
      <c r="B246" s="1" t="s">
        <v>1210</v>
      </c>
      <c r="C246" s="1" t="s">
        <v>1210</v>
      </c>
      <c r="D246" s="1" t="s">
        <v>1210</v>
      </c>
      <c r="E246" s="1" t="s">
        <v>1210</v>
      </c>
      <c r="F246" s="1" t="s">
        <v>1210</v>
      </c>
      <c r="G246" s="1" t="s">
        <v>1210</v>
      </c>
      <c r="H246" s="1" t="s">
        <v>1210</v>
      </c>
      <c r="I246" s="1" t="s">
        <v>1210</v>
      </c>
      <c r="J246" s="1" t="s">
        <v>1210</v>
      </c>
      <c r="K246" s="1" t="s">
        <v>1210</v>
      </c>
      <c r="L246" s="1" t="s">
        <v>1210</v>
      </c>
      <c r="M246" s="1" t="s">
        <v>1210</v>
      </c>
      <c r="N246" s="1" t="s">
        <v>1210</v>
      </c>
      <c r="O246" s="1" t="s">
        <v>1210</v>
      </c>
      <c r="P246" s="1" t="s">
        <v>1210</v>
      </c>
      <c r="Q246" s="1" t="s">
        <v>1210</v>
      </c>
      <c r="R246" s="1" t="s">
        <v>1210</v>
      </c>
      <c r="S246" s="1" t="s">
        <v>1210</v>
      </c>
      <c r="T246" s="1" t="s">
        <v>1210</v>
      </c>
      <c r="U246" s="1" t="s">
        <v>1210</v>
      </c>
      <c r="V246" s="1" t="s">
        <v>1210</v>
      </c>
      <c r="W246" s="1" t="s">
        <v>1210</v>
      </c>
      <c r="X246" s="1" t="s">
        <v>1210</v>
      </c>
      <c r="Y246" s="1" t="s">
        <v>1210</v>
      </c>
      <c r="Z246" s="1" t="s">
        <v>1210</v>
      </c>
    </row>
    <row r="247" spans="1:26">
      <c r="A247" s="1" t="s">
        <v>1185</v>
      </c>
      <c r="B247" s="1" t="s">
        <v>1210</v>
      </c>
      <c r="C247" s="1" t="s">
        <v>1210</v>
      </c>
      <c r="D247" s="1" t="s">
        <v>1210</v>
      </c>
      <c r="E247" s="1" t="s">
        <v>1210</v>
      </c>
      <c r="F247" s="1" t="s">
        <v>1210</v>
      </c>
      <c r="G247" s="1" t="s">
        <v>1210</v>
      </c>
      <c r="H247" s="1" t="s">
        <v>1210</v>
      </c>
      <c r="I247" s="1" t="s">
        <v>1210</v>
      </c>
      <c r="J247" s="1" t="s">
        <v>1210</v>
      </c>
      <c r="K247" s="1" t="s">
        <v>1210</v>
      </c>
      <c r="L247" s="1" t="s">
        <v>1210</v>
      </c>
      <c r="M247" s="1" t="s">
        <v>1210</v>
      </c>
      <c r="N247" s="1" t="s">
        <v>1210</v>
      </c>
      <c r="O247" s="1" t="s">
        <v>1210</v>
      </c>
      <c r="P247" s="1" t="s">
        <v>1210</v>
      </c>
      <c r="Q247" s="1" t="s">
        <v>1210</v>
      </c>
      <c r="R247" s="1" t="s">
        <v>1210</v>
      </c>
      <c r="S247" s="1" t="s">
        <v>1210</v>
      </c>
      <c r="T247" s="1" t="s">
        <v>1210</v>
      </c>
      <c r="U247" s="1" t="s">
        <v>1210</v>
      </c>
      <c r="V247" s="1" t="s">
        <v>1210</v>
      </c>
      <c r="W247" s="1" t="s">
        <v>1210</v>
      </c>
      <c r="X247" s="1" t="s">
        <v>1210</v>
      </c>
      <c r="Y247" s="1" t="s">
        <v>1210</v>
      </c>
      <c r="Z247" s="1" t="s">
        <v>1210</v>
      </c>
    </row>
    <row r="248" spans="1:26">
      <c r="A248" s="1" t="s">
        <v>1237</v>
      </c>
      <c r="B248" s="1" t="s">
        <v>1210</v>
      </c>
      <c r="C248" s="1" t="s">
        <v>1210</v>
      </c>
      <c r="D248" s="1" t="s">
        <v>1210</v>
      </c>
      <c r="E248" s="1" t="s">
        <v>1210</v>
      </c>
      <c r="F248" s="1" t="s">
        <v>1210</v>
      </c>
      <c r="G248" s="1" t="s">
        <v>1210</v>
      </c>
      <c r="H248" s="1" t="s">
        <v>1210</v>
      </c>
      <c r="I248" s="1" t="s">
        <v>1210</v>
      </c>
      <c r="J248" s="1" t="s">
        <v>1210</v>
      </c>
      <c r="K248" s="1" t="s">
        <v>1210</v>
      </c>
      <c r="L248" s="1" t="s">
        <v>1210</v>
      </c>
      <c r="M248" s="1" t="s">
        <v>1210</v>
      </c>
      <c r="N248" s="1" t="s">
        <v>1210</v>
      </c>
      <c r="O248" s="1" t="s">
        <v>1210</v>
      </c>
      <c r="P248" s="1" t="s">
        <v>1210</v>
      </c>
      <c r="Q248" s="1" t="s">
        <v>1210</v>
      </c>
      <c r="R248" s="1" t="s">
        <v>1210</v>
      </c>
      <c r="S248" s="1" t="s">
        <v>1210</v>
      </c>
      <c r="T248" s="1" t="s">
        <v>1210</v>
      </c>
      <c r="U248" s="1" t="s">
        <v>1210</v>
      </c>
      <c r="V248" s="1" t="s">
        <v>1210</v>
      </c>
      <c r="W248" s="1" t="s">
        <v>1210</v>
      </c>
      <c r="X248" s="1" t="s">
        <v>1210</v>
      </c>
      <c r="Y248" s="1" t="s">
        <v>1210</v>
      </c>
      <c r="Z248" s="1" t="s">
        <v>1210</v>
      </c>
    </row>
    <row r="249" spans="1:26">
      <c r="A249" s="1" t="s">
        <v>1238</v>
      </c>
      <c r="B249" s="1" t="s">
        <v>1210</v>
      </c>
      <c r="C249" s="1" t="s">
        <v>1210</v>
      </c>
      <c r="D249" s="1" t="s">
        <v>1210</v>
      </c>
      <c r="E249" s="1" t="s">
        <v>1210</v>
      </c>
      <c r="F249" s="1" t="s">
        <v>1210</v>
      </c>
      <c r="G249" s="1" t="s">
        <v>1210</v>
      </c>
      <c r="H249" s="1" t="s">
        <v>1210</v>
      </c>
      <c r="I249" s="1" t="s">
        <v>1210</v>
      </c>
      <c r="J249" s="1" t="s">
        <v>1210</v>
      </c>
      <c r="K249" s="1" t="s">
        <v>1210</v>
      </c>
      <c r="L249" s="1" t="s">
        <v>1210</v>
      </c>
      <c r="M249" s="1" t="s">
        <v>1210</v>
      </c>
      <c r="N249" s="1" t="s">
        <v>1210</v>
      </c>
      <c r="O249" s="1" t="s">
        <v>1210</v>
      </c>
      <c r="P249" s="1" t="s">
        <v>1210</v>
      </c>
      <c r="Q249" s="1" t="s">
        <v>1210</v>
      </c>
      <c r="R249" s="1" t="s">
        <v>1210</v>
      </c>
      <c r="S249" s="1" t="s">
        <v>1210</v>
      </c>
      <c r="T249" s="1" t="s">
        <v>1210</v>
      </c>
      <c r="U249" s="1" t="s">
        <v>1210</v>
      </c>
      <c r="V249" s="1" t="s">
        <v>1210</v>
      </c>
      <c r="W249" s="1" t="s">
        <v>1210</v>
      </c>
      <c r="X249" s="1" t="s">
        <v>1210</v>
      </c>
      <c r="Y249" s="1" t="s">
        <v>1210</v>
      </c>
      <c r="Z249" s="1" t="s">
        <v>1210</v>
      </c>
    </row>
    <row r="250" spans="1:26">
      <c r="A250" s="1" t="s">
        <v>1239</v>
      </c>
      <c r="B250" s="1" t="s">
        <v>1210</v>
      </c>
      <c r="C250" s="1" t="s">
        <v>1210</v>
      </c>
      <c r="D250" s="1" t="s">
        <v>1210</v>
      </c>
      <c r="E250" s="1" t="s">
        <v>1210</v>
      </c>
      <c r="F250" s="1" t="s">
        <v>1210</v>
      </c>
      <c r="G250" s="1" t="s">
        <v>1210</v>
      </c>
      <c r="H250" s="1" t="s">
        <v>1210</v>
      </c>
      <c r="I250" s="1" t="s">
        <v>1210</v>
      </c>
      <c r="J250" s="1" t="s">
        <v>1210</v>
      </c>
      <c r="K250" s="1" t="s">
        <v>1210</v>
      </c>
      <c r="L250" s="1" t="s">
        <v>1210</v>
      </c>
      <c r="M250" s="1" t="s">
        <v>1210</v>
      </c>
      <c r="N250" s="1" t="s">
        <v>1210</v>
      </c>
      <c r="O250" s="1" t="s">
        <v>1210</v>
      </c>
      <c r="P250" s="1" t="s">
        <v>1210</v>
      </c>
      <c r="Q250" s="1" t="s">
        <v>1210</v>
      </c>
      <c r="R250" s="1" t="s">
        <v>1210</v>
      </c>
      <c r="S250" s="1" t="s">
        <v>1210</v>
      </c>
      <c r="T250" s="1" t="s">
        <v>1210</v>
      </c>
      <c r="U250" s="1" t="s">
        <v>1210</v>
      </c>
      <c r="V250" s="1" t="s">
        <v>1210</v>
      </c>
      <c r="W250" s="1" t="s">
        <v>1210</v>
      </c>
      <c r="X250" s="1" t="s">
        <v>1210</v>
      </c>
      <c r="Y250" s="1" t="s">
        <v>1210</v>
      </c>
      <c r="Z250" s="1" t="s">
        <v>1210</v>
      </c>
    </row>
    <row r="251" spans="1:26">
      <c r="A251" s="1" t="s">
        <v>1240</v>
      </c>
      <c r="B251" s="1" t="s">
        <v>1210</v>
      </c>
      <c r="C251" s="1" t="s">
        <v>1210</v>
      </c>
      <c r="D251" s="1" t="s">
        <v>1210</v>
      </c>
      <c r="E251" s="1" t="s">
        <v>1210</v>
      </c>
      <c r="F251" s="1" t="s">
        <v>1210</v>
      </c>
      <c r="G251" s="1" t="s">
        <v>1210</v>
      </c>
      <c r="H251" s="1" t="s">
        <v>1210</v>
      </c>
      <c r="I251" s="1" t="s">
        <v>1210</v>
      </c>
      <c r="J251" s="1" t="s">
        <v>1210</v>
      </c>
      <c r="K251" s="1" t="s">
        <v>1210</v>
      </c>
      <c r="L251" s="1" t="s">
        <v>1210</v>
      </c>
      <c r="M251" s="1" t="s">
        <v>1210</v>
      </c>
      <c r="N251" s="1" t="s">
        <v>1210</v>
      </c>
      <c r="O251" s="1" t="s">
        <v>1210</v>
      </c>
      <c r="P251" s="1" t="s">
        <v>1210</v>
      </c>
      <c r="Q251" s="1" t="s">
        <v>1210</v>
      </c>
      <c r="R251" s="1" t="s">
        <v>1210</v>
      </c>
      <c r="S251" s="1" t="s">
        <v>1210</v>
      </c>
      <c r="T251" s="1" t="s">
        <v>1210</v>
      </c>
      <c r="U251" s="1" t="s">
        <v>1210</v>
      </c>
      <c r="V251" s="1" t="s">
        <v>1210</v>
      </c>
      <c r="W251" s="1" t="s">
        <v>1210</v>
      </c>
      <c r="X251" s="1" t="s">
        <v>1210</v>
      </c>
      <c r="Y251" s="1" t="s">
        <v>1210</v>
      </c>
      <c r="Z251" s="1" t="s">
        <v>1210</v>
      </c>
    </row>
    <row r="252" spans="1:26">
      <c r="A252" s="1" t="s">
        <v>1188</v>
      </c>
      <c r="B252" s="1" t="s">
        <v>1210</v>
      </c>
      <c r="C252" s="1" t="s">
        <v>1210</v>
      </c>
      <c r="D252" s="1" t="s">
        <v>1210</v>
      </c>
      <c r="E252" s="1" t="s">
        <v>1210</v>
      </c>
      <c r="F252" s="1" t="s">
        <v>1210</v>
      </c>
      <c r="G252" s="1" t="s">
        <v>1210</v>
      </c>
      <c r="H252" s="1" t="s">
        <v>1210</v>
      </c>
      <c r="I252" s="1" t="s">
        <v>1210</v>
      </c>
      <c r="J252" s="1" t="s">
        <v>1210</v>
      </c>
      <c r="K252" s="1" t="s">
        <v>1210</v>
      </c>
      <c r="L252" s="1" t="s">
        <v>1210</v>
      </c>
      <c r="M252" s="1" t="s">
        <v>1210</v>
      </c>
      <c r="N252" s="1" t="s">
        <v>1210</v>
      </c>
      <c r="O252" s="1" t="s">
        <v>1210</v>
      </c>
      <c r="P252" s="1" t="s">
        <v>1210</v>
      </c>
      <c r="Q252" s="1" t="s">
        <v>1210</v>
      </c>
      <c r="R252" s="1" t="s">
        <v>1210</v>
      </c>
      <c r="S252" s="1" t="s">
        <v>1210</v>
      </c>
      <c r="T252" s="1" t="s">
        <v>1210</v>
      </c>
      <c r="U252" s="1" t="s">
        <v>1210</v>
      </c>
      <c r="V252" s="1" t="s">
        <v>1210</v>
      </c>
      <c r="W252" s="1" t="s">
        <v>1210</v>
      </c>
      <c r="X252" s="1" t="s">
        <v>1210</v>
      </c>
      <c r="Y252" s="1" t="s">
        <v>1210</v>
      </c>
      <c r="Z252" s="1" t="s">
        <v>1210</v>
      </c>
    </row>
    <row r="253" spans="1:26">
      <c r="A253" s="1" t="s">
        <v>1192</v>
      </c>
      <c r="B253" s="1" t="s">
        <v>1210</v>
      </c>
      <c r="C253" s="1" t="s">
        <v>1210</v>
      </c>
      <c r="D253" s="1" t="s">
        <v>1210</v>
      </c>
      <c r="E253" s="1" t="s">
        <v>1210</v>
      </c>
      <c r="F253" s="1" t="s">
        <v>1210</v>
      </c>
      <c r="G253" s="1" t="s">
        <v>1210</v>
      </c>
      <c r="H253" s="1" t="s">
        <v>1210</v>
      </c>
      <c r="I253" s="1" t="s">
        <v>1210</v>
      </c>
      <c r="J253" s="1" t="s">
        <v>1210</v>
      </c>
      <c r="K253" s="1" t="s">
        <v>1210</v>
      </c>
      <c r="L253" s="1" t="s">
        <v>1210</v>
      </c>
      <c r="M253" s="1" t="s">
        <v>1210</v>
      </c>
      <c r="N253" s="1" t="s">
        <v>1210</v>
      </c>
      <c r="O253" s="1" t="s">
        <v>1210</v>
      </c>
      <c r="P253" s="1" t="s">
        <v>1210</v>
      </c>
      <c r="Q253" s="1" t="s">
        <v>1210</v>
      </c>
      <c r="R253" s="1" t="s">
        <v>1210</v>
      </c>
      <c r="S253" s="1" t="s">
        <v>1210</v>
      </c>
      <c r="T253" s="1" t="s">
        <v>1210</v>
      </c>
      <c r="U253" s="1" t="s">
        <v>1210</v>
      </c>
      <c r="V253" s="1" t="s">
        <v>1210</v>
      </c>
      <c r="W253" s="1" t="s">
        <v>1210</v>
      </c>
      <c r="X253" s="1" t="s">
        <v>1210</v>
      </c>
      <c r="Y253" s="1" t="s">
        <v>1210</v>
      </c>
      <c r="Z253" s="1" t="s">
        <v>1210</v>
      </c>
    </row>
    <row r="254" spans="1:26">
      <c r="A254" s="1" t="s">
        <v>1181</v>
      </c>
      <c r="B254" s="1" t="s">
        <v>1210</v>
      </c>
      <c r="C254" s="1" t="s">
        <v>1210</v>
      </c>
      <c r="D254" s="1" t="s">
        <v>1210</v>
      </c>
      <c r="E254" s="1" t="s">
        <v>1210</v>
      </c>
      <c r="F254" s="1" t="s">
        <v>1210</v>
      </c>
      <c r="G254" s="1" t="s">
        <v>1210</v>
      </c>
      <c r="H254" s="1" t="s">
        <v>1210</v>
      </c>
      <c r="I254" s="1" t="s">
        <v>1210</v>
      </c>
      <c r="J254" s="1" t="s">
        <v>1210</v>
      </c>
      <c r="K254" s="1" t="s">
        <v>1210</v>
      </c>
      <c r="L254" s="1" t="s">
        <v>1210</v>
      </c>
      <c r="M254" s="1" t="s">
        <v>1210</v>
      </c>
      <c r="N254" s="1" t="s">
        <v>1210</v>
      </c>
      <c r="O254" s="1" t="s">
        <v>1210</v>
      </c>
      <c r="P254" s="1" t="s">
        <v>1210</v>
      </c>
      <c r="Q254" s="1" t="s">
        <v>1210</v>
      </c>
      <c r="R254" s="1" t="s">
        <v>1210</v>
      </c>
      <c r="S254" s="1" t="s">
        <v>1210</v>
      </c>
      <c r="T254" s="1" t="s">
        <v>1210</v>
      </c>
      <c r="U254" s="1" t="s">
        <v>1210</v>
      </c>
      <c r="V254" s="1" t="s">
        <v>1210</v>
      </c>
      <c r="W254" s="1" t="s">
        <v>1210</v>
      </c>
      <c r="X254" s="1" t="s">
        <v>1210</v>
      </c>
      <c r="Y254" s="1" t="s">
        <v>1210</v>
      </c>
      <c r="Z254" s="1" t="s">
        <v>1210</v>
      </c>
    </row>
    <row r="255" spans="1:26">
      <c r="A255" s="1" t="s">
        <v>1241</v>
      </c>
      <c r="B255" s="1" t="s">
        <v>1210</v>
      </c>
      <c r="C255" s="1" t="s">
        <v>1210</v>
      </c>
      <c r="D255" s="1" t="s">
        <v>1210</v>
      </c>
      <c r="E255" s="1" t="s">
        <v>1210</v>
      </c>
      <c r="F255" s="1" t="s">
        <v>1210</v>
      </c>
      <c r="G255" s="1" t="s">
        <v>1210</v>
      </c>
      <c r="H255" s="1" t="s">
        <v>1210</v>
      </c>
      <c r="I255" s="1" t="s">
        <v>1210</v>
      </c>
      <c r="J255" s="1" t="s">
        <v>1210</v>
      </c>
      <c r="K255" s="1" t="s">
        <v>1210</v>
      </c>
      <c r="L255" s="1" t="s">
        <v>1210</v>
      </c>
      <c r="M255" s="1" t="s">
        <v>1210</v>
      </c>
      <c r="N255" s="1" t="s">
        <v>1210</v>
      </c>
      <c r="O255" s="1" t="s">
        <v>1210</v>
      </c>
      <c r="P255" s="1" t="s">
        <v>1210</v>
      </c>
      <c r="Q255" s="1" t="s">
        <v>1210</v>
      </c>
      <c r="R255" s="1" t="s">
        <v>1210</v>
      </c>
      <c r="S255" s="1" t="s">
        <v>1210</v>
      </c>
      <c r="T255" s="1" t="s">
        <v>1210</v>
      </c>
      <c r="U255" s="1" t="s">
        <v>1210</v>
      </c>
      <c r="V255" s="1" t="s">
        <v>1210</v>
      </c>
      <c r="W255" s="1" t="s">
        <v>1210</v>
      </c>
      <c r="X255" s="1" t="s">
        <v>1210</v>
      </c>
      <c r="Y255" s="1" t="s">
        <v>1210</v>
      </c>
      <c r="Z255" s="1" t="s">
        <v>1210</v>
      </c>
    </row>
    <row r="256" spans="1:26">
      <c r="A256" s="1" t="s">
        <v>1242</v>
      </c>
      <c r="B256" s="1" t="s">
        <v>1210</v>
      </c>
      <c r="C256" s="1" t="s">
        <v>1210</v>
      </c>
      <c r="D256" s="1" t="s">
        <v>1210</v>
      </c>
      <c r="E256" s="1" t="s">
        <v>1210</v>
      </c>
      <c r="F256" s="1" t="s">
        <v>1210</v>
      </c>
      <c r="G256" s="1" t="s">
        <v>1210</v>
      </c>
      <c r="H256" s="1" t="s">
        <v>1210</v>
      </c>
      <c r="I256" s="1" t="s">
        <v>1210</v>
      </c>
      <c r="J256" s="1" t="s">
        <v>1210</v>
      </c>
      <c r="K256" s="1" t="s">
        <v>1210</v>
      </c>
      <c r="L256" s="1" t="s">
        <v>1210</v>
      </c>
      <c r="M256" s="1" t="s">
        <v>1210</v>
      </c>
      <c r="N256" s="1" t="s">
        <v>1210</v>
      </c>
      <c r="O256" s="1" t="s">
        <v>1210</v>
      </c>
      <c r="P256" s="1" t="s">
        <v>1210</v>
      </c>
      <c r="Q256" s="1" t="s">
        <v>1210</v>
      </c>
      <c r="R256" s="1" t="s">
        <v>1210</v>
      </c>
      <c r="S256" s="1" t="s">
        <v>1210</v>
      </c>
      <c r="T256" s="1" t="s">
        <v>1210</v>
      </c>
      <c r="U256" s="1" t="s">
        <v>1210</v>
      </c>
      <c r="V256" s="1" t="s">
        <v>1210</v>
      </c>
      <c r="W256" s="1" t="s">
        <v>1210</v>
      </c>
      <c r="X256" s="1" t="s">
        <v>1210</v>
      </c>
      <c r="Y256" s="1" t="s">
        <v>1210</v>
      </c>
      <c r="Z256" s="1" t="s">
        <v>1210</v>
      </c>
    </row>
    <row r="257" spans="1:26">
      <c r="A257" s="1" t="s">
        <v>1243</v>
      </c>
      <c r="B257" s="1" t="s">
        <v>1210</v>
      </c>
      <c r="C257" s="1" t="s">
        <v>1210</v>
      </c>
      <c r="D257" s="1" t="s">
        <v>1210</v>
      </c>
      <c r="E257" s="1" t="s">
        <v>1210</v>
      </c>
      <c r="F257" s="1" t="s">
        <v>1210</v>
      </c>
      <c r="G257" s="1" t="s">
        <v>1210</v>
      </c>
      <c r="H257" s="1" t="s">
        <v>1210</v>
      </c>
      <c r="I257" s="1" t="s">
        <v>1210</v>
      </c>
      <c r="J257" s="1" t="s">
        <v>1210</v>
      </c>
      <c r="K257" s="1" t="s">
        <v>1210</v>
      </c>
      <c r="L257" s="1" t="s">
        <v>1210</v>
      </c>
      <c r="M257" s="1" t="s">
        <v>1210</v>
      </c>
      <c r="N257" s="1" t="s">
        <v>1210</v>
      </c>
      <c r="O257" s="1" t="s">
        <v>1210</v>
      </c>
      <c r="P257" s="1" t="s">
        <v>1210</v>
      </c>
      <c r="Q257" s="1" t="s">
        <v>1210</v>
      </c>
      <c r="R257" s="1" t="s">
        <v>1210</v>
      </c>
      <c r="S257" s="1" t="s">
        <v>1210</v>
      </c>
      <c r="T257" s="1" t="s">
        <v>1210</v>
      </c>
      <c r="U257" s="1" t="s">
        <v>1210</v>
      </c>
      <c r="V257" s="1" t="s">
        <v>1210</v>
      </c>
      <c r="W257" s="1" t="s">
        <v>1210</v>
      </c>
      <c r="X257" s="1" t="s">
        <v>1210</v>
      </c>
      <c r="Y257" s="1" t="s">
        <v>1210</v>
      </c>
      <c r="Z257" s="1" t="s">
        <v>1210</v>
      </c>
    </row>
    <row r="258" spans="1:26">
      <c r="A258" s="1" t="s">
        <v>1244</v>
      </c>
      <c r="B258" s="1" t="s">
        <v>1210</v>
      </c>
      <c r="C258" s="1" t="s">
        <v>1210</v>
      </c>
      <c r="D258" s="1" t="s">
        <v>1210</v>
      </c>
      <c r="E258" s="1" t="s">
        <v>1210</v>
      </c>
      <c r="F258" s="1" t="s">
        <v>1210</v>
      </c>
      <c r="G258" s="1" t="s">
        <v>1210</v>
      </c>
      <c r="H258" s="1" t="s">
        <v>1210</v>
      </c>
      <c r="I258" s="1" t="s">
        <v>1210</v>
      </c>
      <c r="J258" s="1" t="s">
        <v>1210</v>
      </c>
      <c r="K258" s="1" t="s">
        <v>1210</v>
      </c>
      <c r="L258" s="1" t="s">
        <v>1210</v>
      </c>
      <c r="M258" s="1" t="s">
        <v>1210</v>
      </c>
      <c r="N258" s="1" t="s">
        <v>1210</v>
      </c>
      <c r="O258" s="1" t="s">
        <v>1210</v>
      </c>
      <c r="P258" s="1" t="s">
        <v>1210</v>
      </c>
      <c r="Q258" s="1" t="s">
        <v>1210</v>
      </c>
      <c r="R258" s="1" t="s">
        <v>1210</v>
      </c>
      <c r="S258" s="1" t="s">
        <v>1210</v>
      </c>
      <c r="T258" s="1" t="s">
        <v>1210</v>
      </c>
      <c r="U258" s="1" t="s">
        <v>1210</v>
      </c>
      <c r="V258" s="1" t="s">
        <v>1210</v>
      </c>
      <c r="W258" s="1" t="s">
        <v>1210</v>
      </c>
      <c r="X258" s="1" t="s">
        <v>1210</v>
      </c>
      <c r="Y258" s="1" t="s">
        <v>1210</v>
      </c>
      <c r="Z258" s="1" t="s">
        <v>1210</v>
      </c>
    </row>
    <row r="259" spans="1:26">
      <c r="A259" s="1" t="s">
        <v>1245</v>
      </c>
      <c r="B259" s="1" t="s">
        <v>1210</v>
      </c>
      <c r="C259" s="1" t="s">
        <v>1210</v>
      </c>
      <c r="D259" s="1" t="s">
        <v>1210</v>
      </c>
      <c r="E259" s="1" t="s">
        <v>1210</v>
      </c>
      <c r="F259" s="1" t="s">
        <v>1210</v>
      </c>
      <c r="G259" s="1" t="s">
        <v>1210</v>
      </c>
      <c r="H259" s="1" t="s">
        <v>1210</v>
      </c>
      <c r="I259" s="1" t="s">
        <v>1210</v>
      </c>
      <c r="J259" s="1" t="s">
        <v>1210</v>
      </c>
      <c r="K259" s="1" t="s">
        <v>1210</v>
      </c>
      <c r="L259" s="1" t="s">
        <v>1210</v>
      </c>
      <c r="M259" s="1" t="s">
        <v>1210</v>
      </c>
      <c r="N259" s="1" t="s">
        <v>1210</v>
      </c>
      <c r="O259" s="1" t="s">
        <v>1210</v>
      </c>
      <c r="P259" s="1" t="s">
        <v>1210</v>
      </c>
      <c r="Q259" s="1" t="s">
        <v>1210</v>
      </c>
      <c r="R259" s="1" t="s">
        <v>1210</v>
      </c>
      <c r="S259" s="1" t="s">
        <v>1210</v>
      </c>
      <c r="T259" s="1" t="s">
        <v>1210</v>
      </c>
      <c r="U259" s="1" t="s">
        <v>1210</v>
      </c>
      <c r="V259" s="1" t="s">
        <v>1210</v>
      </c>
      <c r="W259" s="1" t="s">
        <v>1210</v>
      </c>
      <c r="X259" s="1" t="s">
        <v>1210</v>
      </c>
      <c r="Y259" s="1" t="s">
        <v>1210</v>
      </c>
      <c r="Z259" s="1" t="s">
        <v>1210</v>
      </c>
    </row>
    <row r="260" spans="1:26">
      <c r="A260" s="1" t="s">
        <v>1200</v>
      </c>
      <c r="B260" s="1" t="s">
        <v>1210</v>
      </c>
      <c r="C260" s="1" t="s">
        <v>1210</v>
      </c>
      <c r="D260" s="1" t="s">
        <v>1210</v>
      </c>
      <c r="E260" s="1" t="s">
        <v>1210</v>
      </c>
      <c r="F260" s="1" t="s">
        <v>1210</v>
      </c>
      <c r="G260" s="1" t="s">
        <v>1210</v>
      </c>
      <c r="H260" s="1" t="s">
        <v>1210</v>
      </c>
      <c r="I260" s="1" t="s">
        <v>1210</v>
      </c>
      <c r="J260" s="1" t="s">
        <v>1210</v>
      </c>
      <c r="K260" s="1" t="s">
        <v>1210</v>
      </c>
      <c r="L260" s="1" t="s">
        <v>1210</v>
      </c>
      <c r="M260" s="1" t="s">
        <v>1210</v>
      </c>
      <c r="N260" s="1" t="s">
        <v>1210</v>
      </c>
      <c r="O260" s="1" t="s">
        <v>1210</v>
      </c>
      <c r="P260" s="1" t="s">
        <v>1210</v>
      </c>
      <c r="Q260" s="1" t="s">
        <v>1210</v>
      </c>
      <c r="R260" s="1" t="s">
        <v>1210</v>
      </c>
      <c r="S260" s="1" t="s">
        <v>1210</v>
      </c>
      <c r="T260" s="1" t="s">
        <v>1210</v>
      </c>
      <c r="U260" s="1" t="s">
        <v>1210</v>
      </c>
      <c r="V260" s="1" t="s">
        <v>1210</v>
      </c>
      <c r="W260" s="1" t="s">
        <v>1210</v>
      </c>
      <c r="X260" s="1" t="s">
        <v>1210</v>
      </c>
      <c r="Y260" s="1" t="s">
        <v>1210</v>
      </c>
      <c r="Z260" s="1" t="s">
        <v>1210</v>
      </c>
    </row>
    <row r="261" spans="1:26">
      <c r="A261" s="1" t="s">
        <v>1197</v>
      </c>
      <c r="B261" s="1" t="s">
        <v>1210</v>
      </c>
      <c r="C261" s="1" t="s">
        <v>1210</v>
      </c>
      <c r="D261" s="1" t="s">
        <v>1210</v>
      </c>
      <c r="E261" s="1" t="s">
        <v>1210</v>
      </c>
      <c r="F261" s="1" t="s">
        <v>1210</v>
      </c>
      <c r="G261" s="1" t="s">
        <v>1210</v>
      </c>
      <c r="H261" s="1" t="s">
        <v>1210</v>
      </c>
      <c r="I261" s="1" t="s">
        <v>1210</v>
      </c>
      <c r="J261" s="1" t="s">
        <v>1210</v>
      </c>
      <c r="K261" s="1" t="s">
        <v>1210</v>
      </c>
      <c r="L261" s="1" t="s">
        <v>1210</v>
      </c>
      <c r="M261" s="1" t="s">
        <v>1210</v>
      </c>
      <c r="N261" s="1" t="s">
        <v>1210</v>
      </c>
      <c r="O261" s="1" t="s">
        <v>1210</v>
      </c>
      <c r="P261" s="1" t="s">
        <v>1210</v>
      </c>
      <c r="Q261" s="1" t="s">
        <v>1210</v>
      </c>
      <c r="R261" s="1" t="s">
        <v>1210</v>
      </c>
      <c r="S261" s="1" t="s">
        <v>1210</v>
      </c>
      <c r="T261" s="1" t="s">
        <v>1210</v>
      </c>
      <c r="U261" s="1" t="s">
        <v>1210</v>
      </c>
      <c r="V261" s="1" t="s">
        <v>1210</v>
      </c>
      <c r="W261" s="1" t="s">
        <v>1210</v>
      </c>
      <c r="X261" s="1" t="s">
        <v>1210</v>
      </c>
      <c r="Y261" s="1" t="s">
        <v>1210</v>
      </c>
      <c r="Z261" s="1" t="s">
        <v>1210</v>
      </c>
    </row>
    <row r="262" spans="1:26">
      <c r="A262" s="1" t="s">
        <v>1246</v>
      </c>
      <c r="B262" s="1" t="s">
        <v>1210</v>
      </c>
      <c r="C262" s="1" t="s">
        <v>1210</v>
      </c>
      <c r="D262" s="1" t="s">
        <v>1210</v>
      </c>
      <c r="E262" s="1" t="s">
        <v>1210</v>
      </c>
      <c r="F262" s="1" t="s">
        <v>1210</v>
      </c>
      <c r="G262" s="1" t="s">
        <v>1210</v>
      </c>
      <c r="H262" s="1" t="s">
        <v>1210</v>
      </c>
      <c r="I262" s="1" t="s">
        <v>1210</v>
      </c>
      <c r="J262" s="1" t="s">
        <v>1210</v>
      </c>
      <c r="K262" s="1" t="s">
        <v>1210</v>
      </c>
      <c r="L262" s="1" t="s">
        <v>1210</v>
      </c>
      <c r="M262" s="1" t="s">
        <v>1210</v>
      </c>
      <c r="N262" s="1" t="s">
        <v>1210</v>
      </c>
      <c r="O262" s="1" t="s">
        <v>1210</v>
      </c>
      <c r="P262" s="1" t="s">
        <v>1210</v>
      </c>
      <c r="Q262" s="1" t="s">
        <v>1210</v>
      </c>
      <c r="R262" s="1" t="s">
        <v>1210</v>
      </c>
      <c r="S262" s="1" t="s">
        <v>1210</v>
      </c>
      <c r="T262" s="1" t="s">
        <v>1210</v>
      </c>
      <c r="U262" s="1" t="s">
        <v>1210</v>
      </c>
      <c r="V262" s="1" t="s">
        <v>1210</v>
      </c>
      <c r="W262" s="1" t="s">
        <v>1210</v>
      </c>
      <c r="X262" s="1" t="s">
        <v>1210</v>
      </c>
      <c r="Y262" s="1" t="s">
        <v>1210</v>
      </c>
      <c r="Z262" s="1" t="s">
        <v>1210</v>
      </c>
    </row>
    <row r="263" spans="1:26">
      <c r="A263" s="1" t="s">
        <v>1199</v>
      </c>
      <c r="B263" s="1" t="s">
        <v>1210</v>
      </c>
      <c r="C263" s="1" t="s">
        <v>1210</v>
      </c>
      <c r="D263" s="1" t="s">
        <v>1210</v>
      </c>
      <c r="E263" s="1" t="s">
        <v>1210</v>
      </c>
      <c r="F263" s="1" t="s">
        <v>1210</v>
      </c>
      <c r="G263" s="1" t="s">
        <v>1210</v>
      </c>
      <c r="H263" s="1" t="s">
        <v>1210</v>
      </c>
      <c r="I263" s="1" t="s">
        <v>1210</v>
      </c>
      <c r="J263" s="1" t="s">
        <v>1210</v>
      </c>
      <c r="K263" s="1" t="s">
        <v>1210</v>
      </c>
      <c r="L263" s="1" t="s">
        <v>1210</v>
      </c>
      <c r="M263" s="1" t="s">
        <v>1210</v>
      </c>
      <c r="N263" s="1" t="s">
        <v>1210</v>
      </c>
      <c r="O263" s="1" t="s">
        <v>1210</v>
      </c>
      <c r="P263" s="1" t="s">
        <v>1210</v>
      </c>
      <c r="Q263" s="1" t="s">
        <v>1210</v>
      </c>
      <c r="R263" s="1" t="s">
        <v>1210</v>
      </c>
      <c r="S263" s="1" t="s">
        <v>1210</v>
      </c>
      <c r="T263" s="1" t="s">
        <v>1210</v>
      </c>
      <c r="U263" s="1" t="s">
        <v>1210</v>
      </c>
      <c r="V263" s="1" t="s">
        <v>1210</v>
      </c>
      <c r="W263" s="1" t="s">
        <v>1210</v>
      </c>
      <c r="X263" s="1" t="s">
        <v>1210</v>
      </c>
      <c r="Y263" s="1" t="s">
        <v>1210</v>
      </c>
      <c r="Z263" s="1" t="s">
        <v>1210</v>
      </c>
    </row>
    <row r="264" spans="1:26">
      <c r="A264" s="1" t="s">
        <v>1247</v>
      </c>
      <c r="B264" s="1" t="s">
        <v>1210</v>
      </c>
      <c r="C264" s="1" t="s">
        <v>1210</v>
      </c>
      <c r="D264" s="1" t="s">
        <v>1210</v>
      </c>
      <c r="E264" s="1" t="s">
        <v>1210</v>
      </c>
      <c r="F264" s="1" t="s">
        <v>1210</v>
      </c>
      <c r="G264" s="1" t="s">
        <v>1210</v>
      </c>
      <c r="H264" s="1" t="s">
        <v>1210</v>
      </c>
      <c r="I264" s="1" t="s">
        <v>1210</v>
      </c>
      <c r="J264" s="1" t="s">
        <v>1210</v>
      </c>
      <c r="K264" s="1" t="s">
        <v>1210</v>
      </c>
      <c r="L264" s="1" t="s">
        <v>1210</v>
      </c>
      <c r="M264" s="1" t="s">
        <v>1210</v>
      </c>
      <c r="N264" s="1" t="s">
        <v>1210</v>
      </c>
      <c r="O264" s="1" t="s">
        <v>1210</v>
      </c>
      <c r="P264" s="1" t="s">
        <v>1210</v>
      </c>
      <c r="Q264" s="1" t="s">
        <v>1210</v>
      </c>
      <c r="R264" s="1" t="s">
        <v>1210</v>
      </c>
      <c r="S264" s="1" t="s">
        <v>1210</v>
      </c>
      <c r="T264" s="1" t="s">
        <v>1210</v>
      </c>
      <c r="U264" s="1" t="s">
        <v>1210</v>
      </c>
      <c r="V264" s="1" t="s">
        <v>1210</v>
      </c>
      <c r="W264" s="1" t="s">
        <v>1210</v>
      </c>
      <c r="X264" s="1" t="s">
        <v>1210</v>
      </c>
      <c r="Y264" s="1" t="s">
        <v>1210</v>
      </c>
      <c r="Z264" s="1" t="s">
        <v>1210</v>
      </c>
    </row>
    <row r="265" spans="1:26">
      <c r="A265" s="1" t="s">
        <v>1248</v>
      </c>
      <c r="B265" s="1" t="s">
        <v>1210</v>
      </c>
      <c r="C265" s="1" t="s">
        <v>1210</v>
      </c>
      <c r="D265" s="1" t="s">
        <v>1210</v>
      </c>
      <c r="E265" s="1" t="s">
        <v>1210</v>
      </c>
      <c r="F265" s="1" t="s">
        <v>1210</v>
      </c>
      <c r="G265" s="1" t="s">
        <v>1210</v>
      </c>
      <c r="H265" s="1" t="s">
        <v>1210</v>
      </c>
      <c r="I265" s="1" t="s">
        <v>1210</v>
      </c>
      <c r="J265" s="1" t="s">
        <v>1210</v>
      </c>
      <c r="K265" s="1" t="s">
        <v>1210</v>
      </c>
      <c r="L265" s="1" t="s">
        <v>1210</v>
      </c>
      <c r="M265" s="1" t="s">
        <v>1210</v>
      </c>
      <c r="N265" s="1" t="s">
        <v>1210</v>
      </c>
      <c r="O265" s="1" t="s">
        <v>1210</v>
      </c>
      <c r="P265" s="1" t="s">
        <v>1210</v>
      </c>
      <c r="Q265" s="1" t="s">
        <v>1210</v>
      </c>
      <c r="R265" s="1" t="s">
        <v>1210</v>
      </c>
      <c r="S265" s="1" t="s">
        <v>1210</v>
      </c>
      <c r="T265" s="1" t="s">
        <v>1210</v>
      </c>
      <c r="U265" s="1" t="s">
        <v>1210</v>
      </c>
      <c r="V265" s="1" t="s">
        <v>1210</v>
      </c>
      <c r="W265" s="1" t="s">
        <v>1210</v>
      </c>
      <c r="X265" s="1" t="s">
        <v>1210</v>
      </c>
      <c r="Y265" s="1" t="s">
        <v>1210</v>
      </c>
      <c r="Z265" s="1" t="s">
        <v>1210</v>
      </c>
    </row>
    <row r="266" spans="1:26">
      <c r="A266" s="1" t="s">
        <v>1205</v>
      </c>
      <c r="B266" s="1" t="s">
        <v>1210</v>
      </c>
      <c r="C266" s="1" t="s">
        <v>1210</v>
      </c>
      <c r="D266" s="1" t="s">
        <v>1210</v>
      </c>
      <c r="E266" s="1" t="s">
        <v>1210</v>
      </c>
      <c r="F266" s="1" t="s">
        <v>1210</v>
      </c>
      <c r="G266" s="1" t="s">
        <v>1210</v>
      </c>
      <c r="H266" s="1" t="s">
        <v>1210</v>
      </c>
      <c r="I266" s="1" t="s">
        <v>1210</v>
      </c>
      <c r="J266" s="1" t="s">
        <v>1210</v>
      </c>
      <c r="K266" s="1" t="s">
        <v>1210</v>
      </c>
      <c r="L266" s="1" t="s">
        <v>1210</v>
      </c>
      <c r="M266" s="1" t="s">
        <v>1210</v>
      </c>
      <c r="N266" s="1" t="s">
        <v>1210</v>
      </c>
      <c r="O266" s="1" t="s">
        <v>1210</v>
      </c>
      <c r="P266" s="1" t="s">
        <v>1210</v>
      </c>
      <c r="Q266" s="1" t="s">
        <v>1210</v>
      </c>
      <c r="R266" s="1" t="s">
        <v>1210</v>
      </c>
      <c r="S266" s="1" t="s">
        <v>1210</v>
      </c>
      <c r="T266" s="1" t="s">
        <v>1210</v>
      </c>
      <c r="U266" s="1" t="s">
        <v>1210</v>
      </c>
      <c r="V266" s="1" t="s">
        <v>1210</v>
      </c>
      <c r="W266" s="1" t="s">
        <v>1210</v>
      </c>
      <c r="X266" s="1" t="s">
        <v>1210</v>
      </c>
      <c r="Y266" s="1" t="s">
        <v>1210</v>
      </c>
      <c r="Z266" s="1" t="s">
        <v>1210</v>
      </c>
    </row>
    <row r="267" spans="1:26">
      <c r="A267" s="1" t="s">
        <v>423</v>
      </c>
      <c r="B267" s="1" t="s">
        <v>1210</v>
      </c>
      <c r="C267" s="1" t="s">
        <v>1210</v>
      </c>
      <c r="D267" s="1" t="s">
        <v>1210</v>
      </c>
      <c r="E267" s="1" t="s">
        <v>1210</v>
      </c>
      <c r="F267" s="1" t="s">
        <v>1210</v>
      </c>
      <c r="G267" s="1" t="s">
        <v>1210</v>
      </c>
      <c r="H267" s="1" t="s">
        <v>1210</v>
      </c>
      <c r="I267" s="1" t="s">
        <v>1210</v>
      </c>
      <c r="J267" s="1" t="s">
        <v>1210</v>
      </c>
      <c r="K267" s="1" t="s">
        <v>1210</v>
      </c>
      <c r="L267" s="1" t="s">
        <v>1210</v>
      </c>
      <c r="M267" s="1" t="s">
        <v>1210</v>
      </c>
      <c r="N267" s="1" t="s">
        <v>1210</v>
      </c>
      <c r="O267" s="1" t="s">
        <v>1210</v>
      </c>
      <c r="P267" s="1" t="s">
        <v>1210</v>
      </c>
      <c r="Q267" s="1" t="s">
        <v>1210</v>
      </c>
      <c r="R267" s="1" t="s">
        <v>1210</v>
      </c>
      <c r="S267" s="1" t="s">
        <v>1210</v>
      </c>
      <c r="T267" s="1" t="s">
        <v>1210</v>
      </c>
      <c r="U267" s="1" t="s">
        <v>1210</v>
      </c>
      <c r="V267" s="1" t="s">
        <v>1210</v>
      </c>
      <c r="W267" s="1" t="s">
        <v>1210</v>
      </c>
      <c r="X267" s="1" t="s">
        <v>1210</v>
      </c>
      <c r="Y267" s="1" t="s">
        <v>1210</v>
      </c>
      <c r="Z267" s="1" t="s">
        <v>1210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1D4E-D0ED-44C6-BEB2-AF9953BAE612}">
  <sheetPr codeName="Sheet13"/>
  <dimension ref="A1:W267"/>
  <sheetViews>
    <sheetView workbookViewId="0"/>
  </sheetViews>
  <sheetFormatPr baseColWidth="10" defaultColWidth="8.83203125" defaultRowHeight="15"/>
  <cols>
    <col min="1" max="1" width="30.33203125" customWidth="1"/>
    <col min="2" max="23" width="9.83203125" style="1" customWidth="1"/>
  </cols>
  <sheetData>
    <row r="1" spans="1:23">
      <c r="A1" s="2" t="s">
        <v>1164</v>
      </c>
      <c r="B1" s="2" t="s">
        <v>1249</v>
      </c>
      <c r="C1" s="2" t="s">
        <v>1250</v>
      </c>
      <c r="D1" s="2" t="s">
        <v>1251</v>
      </c>
      <c r="E1" s="2" t="s">
        <v>1252</v>
      </c>
      <c r="F1" s="2" t="s">
        <v>1253</v>
      </c>
      <c r="G1" s="2" t="s">
        <v>1254</v>
      </c>
      <c r="H1" s="2" t="s">
        <v>1255</v>
      </c>
      <c r="I1" s="2" t="s">
        <v>1256</v>
      </c>
      <c r="J1" s="2" t="s">
        <v>1257</v>
      </c>
      <c r="K1" s="2" t="s">
        <v>1258</v>
      </c>
      <c r="L1" s="2" t="s">
        <v>1259</v>
      </c>
      <c r="M1" s="2" t="s">
        <v>1260</v>
      </c>
      <c r="N1" s="2" t="s">
        <v>1261</v>
      </c>
      <c r="O1" s="2" t="s">
        <v>1262</v>
      </c>
      <c r="P1" s="2" t="s">
        <v>1263</v>
      </c>
      <c r="Q1" s="2" t="s">
        <v>1264</v>
      </c>
      <c r="R1" s="2" t="s">
        <v>1265</v>
      </c>
      <c r="S1" s="2" t="s">
        <v>1266</v>
      </c>
      <c r="T1" s="2" t="s">
        <v>1267</v>
      </c>
      <c r="U1" s="2" t="s">
        <v>1268</v>
      </c>
      <c r="V1" s="2" t="s">
        <v>1269</v>
      </c>
      <c r="W1" s="2" t="s">
        <v>1270</v>
      </c>
    </row>
    <row r="2" spans="1:23">
      <c r="A2" s="1" t="s">
        <v>1165</v>
      </c>
      <c r="B2" s="34">
        <v>1.1523341164467</v>
      </c>
      <c r="C2" s="34">
        <v>1.1910743412453999</v>
      </c>
      <c r="D2" s="34">
        <v>1.22561363484664</v>
      </c>
      <c r="E2" s="34">
        <v>1.22851370599221</v>
      </c>
      <c r="F2" s="34">
        <v>1.22227797445479</v>
      </c>
      <c r="G2" s="34">
        <v>1.22486029934244</v>
      </c>
      <c r="H2" s="34">
        <v>1.2238983744601499</v>
      </c>
      <c r="I2" s="34">
        <v>1.2627957487299399</v>
      </c>
      <c r="J2" s="34">
        <v>1.30153919071472</v>
      </c>
      <c r="K2" s="34">
        <v>1.31400044475978</v>
      </c>
      <c r="L2" s="34">
        <v>1.2900713860808699</v>
      </c>
      <c r="M2" s="34">
        <v>1.30294060707092</v>
      </c>
      <c r="N2" s="34">
        <v>1.3178013563156099</v>
      </c>
      <c r="O2" s="34">
        <v>1.2851409912109399</v>
      </c>
      <c r="P2" s="34">
        <v>1.30884277820587</v>
      </c>
      <c r="Q2" s="34">
        <v>1.3623179197311399</v>
      </c>
      <c r="R2" s="34">
        <v>1.3550446033477801</v>
      </c>
      <c r="S2" s="34">
        <v>1.3506896495819101</v>
      </c>
      <c r="T2" s="34"/>
      <c r="U2" s="34"/>
      <c r="V2" s="34"/>
      <c r="W2" s="34"/>
    </row>
    <row r="3" spans="1:23">
      <c r="A3" s="1" t="s">
        <v>1214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 spans="1:23">
      <c r="A4" s="1" t="s">
        <v>1002</v>
      </c>
      <c r="B4" s="34"/>
      <c r="C4" s="34"/>
      <c r="D4" s="34">
        <v>9.1902967329625191</v>
      </c>
      <c r="E4" s="34">
        <v>10.0743573034232</v>
      </c>
      <c r="F4" s="34">
        <v>10.9159997738725</v>
      </c>
      <c r="G4" s="34">
        <v>11.741497240530901</v>
      </c>
      <c r="H4" s="34">
        <v>12.217140176406801</v>
      </c>
      <c r="I4" s="34">
        <v>14.5777876937148</v>
      </c>
      <c r="J4" s="34">
        <v>14.5994026083325</v>
      </c>
      <c r="K4" s="34">
        <v>14.175491627089</v>
      </c>
      <c r="L4" s="34">
        <v>14.546728396568501</v>
      </c>
      <c r="M4" s="34">
        <v>16.6134779097919</v>
      </c>
      <c r="N4" s="34">
        <v>17.242263889420599</v>
      </c>
      <c r="O4" s="34">
        <v>17.509418857049202</v>
      </c>
      <c r="P4" s="34">
        <v>17.0358776005124</v>
      </c>
      <c r="Q4" s="34">
        <v>17.022520016941598</v>
      </c>
      <c r="R4" s="34">
        <v>17.445827943147201</v>
      </c>
      <c r="S4" s="34">
        <v>17.2055580487587</v>
      </c>
      <c r="T4" s="34">
        <v>17.150172722782699</v>
      </c>
      <c r="U4" s="34">
        <v>17.948214945257501</v>
      </c>
      <c r="V4" s="34">
        <v>19.121610598234302</v>
      </c>
      <c r="W4" s="34"/>
    </row>
    <row r="5" spans="1:23">
      <c r="A5" s="1" t="s">
        <v>1215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</row>
    <row r="6" spans="1:23">
      <c r="A6" s="1" t="s">
        <v>1004</v>
      </c>
      <c r="B6" s="34">
        <v>2.0817436855368698</v>
      </c>
      <c r="C6" s="34">
        <v>4.2035212422869099</v>
      </c>
      <c r="D6" s="34">
        <v>10.033909968979099</v>
      </c>
      <c r="E6" s="34">
        <v>19.103672593088501</v>
      </c>
      <c r="F6" s="34">
        <v>24.823669009409901</v>
      </c>
      <c r="G6" s="34">
        <v>34.275185641741501</v>
      </c>
      <c r="H6" s="34">
        <v>38.9633351201728</v>
      </c>
      <c r="I6" s="34">
        <v>39.578839483867498</v>
      </c>
      <c r="J6" s="34">
        <v>46.3437816747414</v>
      </c>
      <c r="K6" s="34">
        <v>38.284202787105102</v>
      </c>
      <c r="L6" s="34">
        <v>50.052764362196299</v>
      </c>
      <c r="M6" s="34">
        <v>64.605751037597699</v>
      </c>
      <c r="N6" s="34">
        <v>65.681671142578097</v>
      </c>
      <c r="O6" s="34">
        <v>66.019371032714801</v>
      </c>
      <c r="P6" s="34">
        <v>65.000671386718807</v>
      </c>
      <c r="Q6" s="34">
        <v>68.182044982910199</v>
      </c>
      <c r="R6" s="34">
        <v>80.778968811035199</v>
      </c>
      <c r="S6" s="34">
        <v>92.951721191406307</v>
      </c>
      <c r="T6" s="34">
        <v>117.156129623677</v>
      </c>
      <c r="U6" s="34">
        <v>147.434156654357</v>
      </c>
      <c r="V6" s="34">
        <v>159.350681624228</v>
      </c>
      <c r="W6" s="34"/>
    </row>
    <row r="7" spans="1:23">
      <c r="A7" s="1" t="s">
        <v>1001</v>
      </c>
      <c r="B7" s="34">
        <v>42.025284912117499</v>
      </c>
      <c r="C7" s="34">
        <v>42.823877088127702</v>
      </c>
      <c r="D7" s="34">
        <v>42.926071633472702</v>
      </c>
      <c r="E7" s="34">
        <v>44.593218947541303</v>
      </c>
      <c r="F7" s="34">
        <v>44.898492708631203</v>
      </c>
      <c r="G7" s="34">
        <v>45.527386772135799</v>
      </c>
      <c r="H7" s="34">
        <v>44.412236917403199</v>
      </c>
      <c r="I7" s="34">
        <v>44.634964747866299</v>
      </c>
      <c r="J7" s="34">
        <v>44.561155767977397</v>
      </c>
      <c r="K7" s="34">
        <v>44.338069854884303</v>
      </c>
      <c r="L7" s="34">
        <v>44.196214363018498</v>
      </c>
      <c r="M7" s="34">
        <v>43.857684882186803</v>
      </c>
      <c r="N7" s="34">
        <v>43.655248324924102</v>
      </c>
      <c r="O7" s="34">
        <v>44.113738673746198</v>
      </c>
      <c r="P7" s="34">
        <v>42.893929840651197</v>
      </c>
      <c r="Q7" s="34">
        <v>42.705700524764602</v>
      </c>
      <c r="R7" s="34">
        <v>42.385726883258499</v>
      </c>
      <c r="S7" s="34">
        <v>42.255572493922799</v>
      </c>
      <c r="T7" s="34">
        <v>42.302981390049403</v>
      </c>
      <c r="U7" s="34">
        <v>42.342936834586197</v>
      </c>
      <c r="V7" s="34">
        <v>42.498078863488999</v>
      </c>
      <c r="W7" s="34"/>
    </row>
    <row r="8" spans="1:23">
      <c r="A8" s="1" t="s">
        <v>1166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</row>
    <row r="9" spans="1:23">
      <c r="A9" s="1" t="s">
        <v>1167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</row>
    <row r="10" spans="1:23">
      <c r="A10" s="1" t="s">
        <v>1168</v>
      </c>
      <c r="B10" s="34">
        <v>1.2429456305201501</v>
      </c>
      <c r="C10" s="34">
        <v>1.18769383585057</v>
      </c>
      <c r="D10" s="34">
        <v>1.21328851583307</v>
      </c>
      <c r="E10" s="34">
        <v>1.2396765854238601</v>
      </c>
      <c r="F10" s="34">
        <v>1.30980402142577</v>
      </c>
      <c r="G10" s="34">
        <v>1.48016011982538</v>
      </c>
      <c r="H10" s="34">
        <v>1.6085413305717999</v>
      </c>
      <c r="I10" s="34">
        <v>1.7628015033308899</v>
      </c>
      <c r="J10" s="34">
        <v>2.0496395415462301</v>
      </c>
      <c r="K10" s="34">
        <v>1.72529043085873</v>
      </c>
      <c r="L10" s="34">
        <v>1.91842699446922</v>
      </c>
      <c r="M10" s="34">
        <v>2.12660837173462</v>
      </c>
      <c r="N10" s="34">
        <v>2.1777245998382599</v>
      </c>
      <c r="O10" s="34">
        <v>2.2133159637451199</v>
      </c>
      <c r="P10" s="34">
        <v>2.18256711959839</v>
      </c>
      <c r="Q10" s="34">
        <v>2.1877846717834499</v>
      </c>
      <c r="R10" s="34">
        <v>2.1897521018981898</v>
      </c>
      <c r="S10" s="34">
        <v>2.2217919826507599</v>
      </c>
      <c r="T10" s="34">
        <v>2.3477550157256699</v>
      </c>
      <c r="U10" s="34">
        <v>2.2040738533348398</v>
      </c>
      <c r="V10" s="34">
        <v>1.9956872261613301</v>
      </c>
      <c r="W10" s="34"/>
    </row>
    <row r="11" spans="1:23">
      <c r="A11" s="1" t="s">
        <v>365</v>
      </c>
      <c r="B11" s="34">
        <v>0.66341649770656697</v>
      </c>
      <c r="C11" s="34">
        <v>0.64206380368548999</v>
      </c>
      <c r="D11" s="34">
        <v>0.825195078578283</v>
      </c>
      <c r="E11" s="34">
        <v>0.89518074471796005</v>
      </c>
      <c r="F11" s="34">
        <v>1.03178803348564</v>
      </c>
      <c r="G11" s="34">
        <v>1.1038583288378001</v>
      </c>
      <c r="H11" s="34">
        <v>1.2186609082072699</v>
      </c>
      <c r="I11" s="34">
        <v>1.3640848116019899</v>
      </c>
      <c r="J11" s="34">
        <v>1.64810141073973</v>
      </c>
      <c r="K11" s="34">
        <v>1.8871539490479099</v>
      </c>
      <c r="L11" s="34">
        <v>2.2555714837196899</v>
      </c>
      <c r="M11" s="34">
        <v>2.7331278324127202</v>
      </c>
      <c r="N11" s="34">
        <v>3.2181537151336701</v>
      </c>
      <c r="O11" s="34">
        <v>3.9409668445587198</v>
      </c>
      <c r="P11" s="34">
        <v>5.4519639015197798</v>
      </c>
      <c r="Q11" s="34">
        <v>6.8665480613708496</v>
      </c>
      <c r="R11" s="34">
        <v>9.2949657440185494</v>
      </c>
      <c r="S11" s="34">
        <v>10.2568216323853</v>
      </c>
      <c r="T11" s="34">
        <v>14.2265629922715</v>
      </c>
      <c r="U11" s="34">
        <v>21.0943755138792</v>
      </c>
      <c r="V11" s="34">
        <v>29.157768791721601</v>
      </c>
      <c r="W11" s="34"/>
    </row>
    <row r="12" spans="1:23">
      <c r="A12" s="1" t="s">
        <v>1003</v>
      </c>
      <c r="B12" s="34">
        <v>126.38878885872499</v>
      </c>
      <c r="C12" s="34">
        <v>128.65768052932799</v>
      </c>
      <c r="D12" s="34">
        <v>129.64005696620401</v>
      </c>
      <c r="E12" s="34">
        <v>133.12923867267801</v>
      </c>
      <c r="F12" s="34">
        <v>137.77859126601601</v>
      </c>
      <c r="G12" s="34">
        <v>137.90394268797999</v>
      </c>
      <c r="H12" s="34">
        <v>140.03462955162999</v>
      </c>
      <c r="I12" s="34">
        <v>142.20511081564001</v>
      </c>
      <c r="J12" s="34">
        <v>147.84676039913401</v>
      </c>
      <c r="K12" s="34">
        <v>150.39235209648101</v>
      </c>
      <c r="L12" s="34">
        <v>160.20906898819399</v>
      </c>
      <c r="M12" s="34">
        <v>163.65000915527301</v>
      </c>
      <c r="N12" s="34">
        <v>157.96383666992199</v>
      </c>
      <c r="O12" s="34">
        <v>159.84609985351599</v>
      </c>
      <c r="P12" s="34">
        <v>165.18589782714801</v>
      </c>
      <c r="Q12" s="34">
        <v>172.92352294921901</v>
      </c>
      <c r="R12" s="34">
        <v>161.22888183593801</v>
      </c>
      <c r="S12" s="34">
        <v>155.970703125</v>
      </c>
      <c r="T12" s="34">
        <v>156.55974338450099</v>
      </c>
      <c r="U12" s="34">
        <v>155.453007697038</v>
      </c>
      <c r="V12" s="34">
        <v>156.70845575541301</v>
      </c>
      <c r="W12" s="34"/>
    </row>
    <row r="13" spans="1:23">
      <c r="A13" s="1" t="s">
        <v>1169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4" spans="1:23">
      <c r="A14" s="1" t="s">
        <v>1006</v>
      </c>
      <c r="B14" s="34">
        <v>1.7428592899717601</v>
      </c>
      <c r="C14" s="34">
        <v>1.7307363095142101</v>
      </c>
      <c r="D14" s="34">
        <v>1.7157436587886501</v>
      </c>
      <c r="E14" s="34">
        <v>1.66989300730943</v>
      </c>
      <c r="F14" s="34">
        <v>1.65114886613223</v>
      </c>
      <c r="G14" s="34">
        <v>1.67271317581248</v>
      </c>
      <c r="H14" s="34">
        <v>1.63019925376426</v>
      </c>
      <c r="I14" s="34">
        <v>1.64683444938917</v>
      </c>
      <c r="J14" s="34">
        <v>1.68617839790473</v>
      </c>
      <c r="K14" s="34">
        <v>1.7041607518065101</v>
      </c>
      <c r="L14" s="34">
        <v>1.7093509087432199</v>
      </c>
      <c r="M14" s="34">
        <v>1.6913766860961901</v>
      </c>
      <c r="N14" s="34">
        <v>1.8285713195800799</v>
      </c>
      <c r="O14" s="34">
        <v>1.85441470146179</v>
      </c>
      <c r="P14" s="34">
        <v>1.9147150516510001</v>
      </c>
      <c r="Q14" s="34">
        <v>2.0395412445068399</v>
      </c>
      <c r="R14" s="34">
        <v>2.0600430965423602</v>
      </c>
      <c r="S14" s="34">
        <v>2.0935010910034202</v>
      </c>
      <c r="T14" s="34">
        <v>2.0925164028002801</v>
      </c>
      <c r="U14" s="34">
        <v>2.0600946367692501</v>
      </c>
      <c r="V14" s="34">
        <v>2.0710822867359302</v>
      </c>
      <c r="W14" s="34"/>
    </row>
    <row r="15" spans="1:23">
      <c r="A15" s="1" t="s">
        <v>1009</v>
      </c>
      <c r="B15" s="34">
        <v>1.311512</v>
      </c>
      <c r="C15" s="34">
        <v>1.3260730000000001</v>
      </c>
      <c r="D15" s="34">
        <v>1.33649</v>
      </c>
      <c r="E15" s="34">
        <v>1.3532360000000001</v>
      </c>
      <c r="F15" s="34">
        <v>1.3658060000000001</v>
      </c>
      <c r="G15" s="34">
        <v>1.3883559999999999</v>
      </c>
      <c r="H15" s="34">
        <v>1.4035219999999999</v>
      </c>
      <c r="I15" s="34">
        <v>1.426868</v>
      </c>
      <c r="J15" s="34">
        <v>1.4790730000000001</v>
      </c>
      <c r="K15" s="34">
        <v>1.442545</v>
      </c>
      <c r="L15" s="34">
        <v>1.503317</v>
      </c>
      <c r="M15" s="34">
        <v>1.5110520000000001</v>
      </c>
      <c r="N15" s="34">
        <v>1.5401149999999999</v>
      </c>
      <c r="O15" s="34">
        <v>1.4471229999999999</v>
      </c>
      <c r="P15" s="34">
        <v>1.4524889999999999</v>
      </c>
      <c r="Q15" s="34">
        <v>1.4736910000000001</v>
      </c>
      <c r="R15" s="34">
        <v>1.450156</v>
      </c>
      <c r="S15" s="34">
        <v>1.4775529999999999</v>
      </c>
      <c r="T15" s="34">
        <v>1.4704029999999999</v>
      </c>
      <c r="U15" s="34">
        <v>1.4826859999999999</v>
      </c>
      <c r="V15" s="34">
        <v>1.4460090000000001</v>
      </c>
      <c r="W15" s="34">
        <v>1.464075</v>
      </c>
    </row>
    <row r="16" spans="1:23">
      <c r="A16" s="1" t="s">
        <v>1011</v>
      </c>
      <c r="B16" s="34">
        <v>0.90761999999999998</v>
      </c>
      <c r="C16" s="34">
        <v>0.92316799999999999</v>
      </c>
      <c r="D16" s="34">
        <v>0.89979699999999996</v>
      </c>
      <c r="E16" s="34">
        <v>0.88816799999999996</v>
      </c>
      <c r="F16" s="34">
        <v>0.87807800000000003</v>
      </c>
      <c r="G16" s="34">
        <v>0.88193900000000003</v>
      </c>
      <c r="H16" s="34">
        <v>0.86002400000000001</v>
      </c>
      <c r="I16" s="34">
        <v>0.86817900000000003</v>
      </c>
      <c r="J16" s="34">
        <v>0.85442399999999996</v>
      </c>
      <c r="K16" s="34">
        <v>0.84373100000000001</v>
      </c>
      <c r="L16" s="34">
        <v>0.84218999999999999</v>
      </c>
      <c r="M16" s="34">
        <v>0.83137399999999995</v>
      </c>
      <c r="N16" s="34">
        <v>0.81364800000000004</v>
      </c>
      <c r="O16" s="34">
        <v>0.79708100000000004</v>
      </c>
      <c r="P16" s="34">
        <v>0.79879699999999998</v>
      </c>
      <c r="Q16" s="34">
        <v>0.798813</v>
      </c>
      <c r="R16" s="34">
        <v>0.77693100000000004</v>
      </c>
      <c r="S16" s="34">
        <v>0.77500899999999995</v>
      </c>
      <c r="T16" s="34">
        <v>0.76540300000000006</v>
      </c>
      <c r="U16" s="34">
        <v>0.77081299999999997</v>
      </c>
      <c r="V16" s="34">
        <v>0.76392099999999996</v>
      </c>
      <c r="W16" s="34">
        <v>0.75838899999999998</v>
      </c>
    </row>
    <row r="17" spans="1:23">
      <c r="A17" s="1" t="s">
        <v>1005</v>
      </c>
      <c r="B17" s="34">
        <v>0.17314994039255799</v>
      </c>
      <c r="C17" s="34">
        <v>0.17369481262846401</v>
      </c>
      <c r="D17" s="34">
        <v>0.17819633901071999</v>
      </c>
      <c r="E17" s="34">
        <v>0.18712630142391601</v>
      </c>
      <c r="F17" s="34">
        <v>0.19907951945588601</v>
      </c>
      <c r="G17" s="34">
        <v>0.22149164848678099</v>
      </c>
      <c r="H17" s="34">
        <v>0.23928174965367399</v>
      </c>
      <c r="I17" s="34">
        <v>0.282025113939608</v>
      </c>
      <c r="J17" s="34">
        <v>0.353488704673182</v>
      </c>
      <c r="K17" s="34">
        <v>0.28470347307377503</v>
      </c>
      <c r="L17" s="34">
        <v>0.319545379497231</v>
      </c>
      <c r="M17" s="34">
        <v>0.38350978493690502</v>
      </c>
      <c r="N17" s="34">
        <v>0.36904329061508201</v>
      </c>
      <c r="O17" s="34">
        <v>0.35944795608520502</v>
      </c>
      <c r="P17" s="34">
        <v>0.35480394959449801</v>
      </c>
      <c r="Q17" s="34">
        <v>0.37725710868835399</v>
      </c>
      <c r="R17" s="34">
        <v>0.43090146780013999</v>
      </c>
      <c r="S17" s="34">
        <v>0.50547164678573597</v>
      </c>
      <c r="T17" s="34">
        <v>0.55376690616566304</v>
      </c>
      <c r="U17" s="34">
        <v>0.54274185845445899</v>
      </c>
      <c r="V17" s="34">
        <v>0.49561731475100301</v>
      </c>
      <c r="W17" s="34"/>
    </row>
    <row r="18" spans="1:23">
      <c r="A18" s="1" t="s">
        <v>1019</v>
      </c>
      <c r="B18" s="34">
        <v>186.58519890705901</v>
      </c>
      <c r="C18" s="34">
        <v>207.62390837428401</v>
      </c>
      <c r="D18" s="34">
        <v>206.49177796356301</v>
      </c>
      <c r="E18" s="34">
        <v>226.94419693958</v>
      </c>
      <c r="F18" s="34">
        <v>250.04685101808499</v>
      </c>
      <c r="G18" s="34">
        <v>288.18292036138598</v>
      </c>
      <c r="H18" s="34">
        <v>287.67792207582698</v>
      </c>
      <c r="I18" s="34">
        <v>303.33028780474501</v>
      </c>
      <c r="J18" s="34">
        <v>369.59502673813699</v>
      </c>
      <c r="K18" s="34">
        <v>405.16146400395598</v>
      </c>
      <c r="L18" s="34">
        <v>434.78325812486298</v>
      </c>
      <c r="M18" s="34">
        <v>461.50912475585898</v>
      </c>
      <c r="N18" s="34">
        <v>527.052978515625</v>
      </c>
      <c r="O18" s="34">
        <v>539.31109619140602</v>
      </c>
      <c r="P18" s="34">
        <v>547.099609375</v>
      </c>
      <c r="Q18" s="34">
        <v>570.65911865234398</v>
      </c>
      <c r="R18" s="34">
        <v>585.89318847656295</v>
      </c>
      <c r="S18" s="34">
        <v>654.89587402343795</v>
      </c>
      <c r="T18" s="34">
        <v>621.30823533482499</v>
      </c>
      <c r="U18" s="34">
        <v>615.43055578998803</v>
      </c>
      <c r="V18" s="34">
        <v>680.45371033736399</v>
      </c>
      <c r="W18" s="34"/>
    </row>
    <row r="19" spans="1:23">
      <c r="A19" s="1" t="s">
        <v>1017</v>
      </c>
      <c r="B19" s="34">
        <v>0.90011399999999997</v>
      </c>
      <c r="C19" s="34">
        <v>0.89263000000000003</v>
      </c>
      <c r="D19" s="34">
        <v>0.87329999999999997</v>
      </c>
      <c r="E19" s="34">
        <v>0.87611300000000003</v>
      </c>
      <c r="F19" s="34">
        <v>0.88832599999999995</v>
      </c>
      <c r="G19" s="34">
        <v>0.89178800000000003</v>
      </c>
      <c r="H19" s="34">
        <v>0.87426899999999996</v>
      </c>
      <c r="I19" s="34">
        <v>0.878973</v>
      </c>
      <c r="J19" s="34">
        <v>0.86694000000000004</v>
      </c>
      <c r="K19" s="34">
        <v>0.85011000000000003</v>
      </c>
      <c r="L19" s="34">
        <v>0.83657199999999998</v>
      </c>
      <c r="M19" s="34">
        <v>0.83191099999999996</v>
      </c>
      <c r="N19" s="34">
        <v>0.82213700000000001</v>
      </c>
      <c r="O19" s="34">
        <v>0.80616600000000005</v>
      </c>
      <c r="P19" s="34">
        <v>0.80021399999999998</v>
      </c>
      <c r="Q19" s="34">
        <v>0.79999799999999999</v>
      </c>
      <c r="R19" s="34">
        <v>0.78101100000000001</v>
      </c>
      <c r="S19" s="34">
        <v>0.77563400000000005</v>
      </c>
      <c r="T19" s="34">
        <v>0.76640699999999995</v>
      </c>
      <c r="U19" s="34">
        <v>0.76689600000000002</v>
      </c>
      <c r="V19" s="34">
        <v>0.74549500000000002</v>
      </c>
      <c r="W19" s="34">
        <v>0.73004899999999995</v>
      </c>
    </row>
    <row r="20" spans="1:23">
      <c r="A20" s="1" t="s">
        <v>1012</v>
      </c>
      <c r="B20" s="34">
        <v>206.91077712762601</v>
      </c>
      <c r="C20" s="34">
        <v>206.458986597251</v>
      </c>
      <c r="D20" s="34">
        <v>210.46787625814099</v>
      </c>
      <c r="E20" s="34">
        <v>212.95696630328001</v>
      </c>
      <c r="F20" s="34">
        <v>208.970198482337</v>
      </c>
      <c r="G20" s="34">
        <v>211.35896697960899</v>
      </c>
      <c r="H20" s="34">
        <v>209.44719322735</v>
      </c>
      <c r="I20" s="34">
        <v>204.76383063827799</v>
      </c>
      <c r="J20" s="34">
        <v>213.78033803332499</v>
      </c>
      <c r="K20" s="34">
        <v>217.55119876761901</v>
      </c>
      <c r="L20" s="34">
        <v>216.93968524184601</v>
      </c>
      <c r="M20" s="34">
        <v>220.43357849121099</v>
      </c>
      <c r="N20" s="34">
        <v>234.00419616699199</v>
      </c>
      <c r="O20" s="34">
        <v>231.47721862793</v>
      </c>
      <c r="P20" s="34">
        <v>225.04423522949199</v>
      </c>
      <c r="Q20" s="34">
        <v>220.52389526367199</v>
      </c>
      <c r="R20" s="34">
        <v>214.43386840820301</v>
      </c>
      <c r="S20" s="34">
        <v>216.77360534668</v>
      </c>
      <c r="T20" s="34">
        <v>213.110210952899</v>
      </c>
      <c r="U20" s="34">
        <v>208.54022282678301</v>
      </c>
      <c r="V20" s="34">
        <v>211.987204391739</v>
      </c>
      <c r="W20" s="34"/>
    </row>
    <row r="21" spans="1:23">
      <c r="A21" s="1" t="s">
        <v>1018</v>
      </c>
      <c r="B21" s="34">
        <v>196.99071481036501</v>
      </c>
      <c r="C21" s="34">
        <v>200.399003681576</v>
      </c>
      <c r="D21" s="34">
        <v>203.30930202301201</v>
      </c>
      <c r="E21" s="34">
        <v>202.566049429423</v>
      </c>
      <c r="F21" s="34">
        <v>197.43432193991501</v>
      </c>
      <c r="G21" s="34">
        <v>198.629943905603</v>
      </c>
      <c r="H21" s="34">
        <v>191.517655189625</v>
      </c>
      <c r="I21" s="34">
        <v>191.15596162437399</v>
      </c>
      <c r="J21" s="34">
        <v>204.68409108611201</v>
      </c>
      <c r="K21" s="34">
        <v>208.021921769649</v>
      </c>
      <c r="L21" s="34">
        <v>213.397738970045</v>
      </c>
      <c r="M21" s="34">
        <v>223.11581420898401</v>
      </c>
      <c r="N21" s="34">
        <v>238.97865295410199</v>
      </c>
      <c r="O21" s="34">
        <v>231.07925415039099</v>
      </c>
      <c r="P21" s="34">
        <v>231.325927734375</v>
      </c>
      <c r="Q21" s="34">
        <v>225.41592407226599</v>
      </c>
      <c r="R21" s="34">
        <v>215.19668579101599</v>
      </c>
      <c r="S21" s="34">
        <v>208.75720214843801</v>
      </c>
      <c r="T21" s="34">
        <v>206.05191774891799</v>
      </c>
      <c r="U21" s="34">
        <v>205.71170518554601</v>
      </c>
      <c r="V21" s="34">
        <v>217.154974930164</v>
      </c>
      <c r="W21" s="34"/>
    </row>
    <row r="22" spans="1:23">
      <c r="A22" s="1" t="s">
        <v>1007</v>
      </c>
      <c r="B22" s="34">
        <v>15.7959320335088</v>
      </c>
      <c r="C22" s="34">
        <v>15.9609706948607</v>
      </c>
      <c r="D22" s="34">
        <v>16.3241015263458</v>
      </c>
      <c r="E22" s="34">
        <v>16.9585450148688</v>
      </c>
      <c r="F22" s="34">
        <v>17.2673434521197</v>
      </c>
      <c r="G22" s="34">
        <v>17.513743106246601</v>
      </c>
      <c r="H22" s="34">
        <v>17.998177720502401</v>
      </c>
      <c r="I22" s="34">
        <v>18.6615844085322</v>
      </c>
      <c r="J22" s="34">
        <v>19.744508535926499</v>
      </c>
      <c r="K22" s="34">
        <v>20.9206088650465</v>
      </c>
      <c r="L22" s="34">
        <v>22.157129795830201</v>
      </c>
      <c r="M22" s="34">
        <v>23.4095554351807</v>
      </c>
      <c r="N22" s="34">
        <v>23.787351608276399</v>
      </c>
      <c r="O22" s="34">
        <v>24.9661979675293</v>
      </c>
      <c r="P22" s="34">
        <v>25.8188781738281</v>
      </c>
      <c r="Q22" s="34">
        <v>27.283729553222699</v>
      </c>
      <c r="R22" s="34">
        <v>28.4988307952881</v>
      </c>
      <c r="S22" s="34">
        <v>29.738174438476602</v>
      </c>
      <c r="T22" s="34">
        <v>30.666439679798501</v>
      </c>
      <c r="U22" s="34">
        <v>31.4720182937719</v>
      </c>
      <c r="V22" s="34">
        <v>32.369040207496397</v>
      </c>
      <c r="W22" s="34"/>
    </row>
    <row r="23" spans="1:23">
      <c r="A23" s="1" t="s">
        <v>1016</v>
      </c>
      <c r="B23" s="34">
        <v>0.53603349171013703</v>
      </c>
      <c r="C23" s="34">
        <v>0.55596016622241395</v>
      </c>
      <c r="D23" s="34">
        <v>0.55828702565363497</v>
      </c>
      <c r="E23" s="34">
        <v>0.55982924226254005</v>
      </c>
      <c r="F23" s="34">
        <v>0.58024508802745001</v>
      </c>
      <c r="G23" s="34">
        <v>0.59650019243209595</v>
      </c>
      <c r="H23" s="34">
        <v>0.61822582183506103</v>
      </c>
      <c r="I23" s="34">
        <v>0.65643420522821105</v>
      </c>
      <c r="J23" s="34">
        <v>0.67767915334719597</v>
      </c>
      <c r="K23" s="34">
        <v>0.69319798257402998</v>
      </c>
      <c r="L23" s="34">
        <v>0.67693879558922598</v>
      </c>
      <c r="M23" s="34">
        <v>0.70107265584817302</v>
      </c>
      <c r="N23" s="34">
        <v>0.69281730406967701</v>
      </c>
      <c r="O23" s="34">
        <v>0.68000807987533896</v>
      </c>
      <c r="P23" s="34">
        <v>0.66122893499942703</v>
      </c>
      <c r="Q23" s="34">
        <v>0.67869815254115495</v>
      </c>
      <c r="R23" s="34">
        <v>0.66666273200063897</v>
      </c>
      <c r="S23" s="34">
        <v>0.67628033455564296</v>
      </c>
      <c r="T23" s="34">
        <v>0.68010417231837705</v>
      </c>
      <c r="U23" s="34">
        <v>0.70452056192387502</v>
      </c>
      <c r="V23" s="34">
        <v>0.70423184609524803</v>
      </c>
      <c r="W23" s="34"/>
    </row>
    <row r="24" spans="1:23">
      <c r="A24" s="1" t="s">
        <v>1014</v>
      </c>
      <c r="B24" s="34">
        <v>0.121551944398765</v>
      </c>
      <c r="C24" s="34">
        <v>0.11494197964229</v>
      </c>
      <c r="D24" s="34">
        <v>0.11701559127943199</v>
      </c>
      <c r="E24" s="34">
        <v>0.124764947992167</v>
      </c>
      <c r="F24" s="34">
        <v>0.134847585944359</v>
      </c>
      <c r="G24" s="34">
        <v>0.14873582334079799</v>
      </c>
      <c r="H24" s="34">
        <v>0.15713254211070199</v>
      </c>
      <c r="I24" s="34">
        <v>0.16593031514746501</v>
      </c>
      <c r="J24" s="34">
        <v>0.18126265070683201</v>
      </c>
      <c r="K24" s="34">
        <v>0.15651628654524799</v>
      </c>
      <c r="L24" s="34">
        <v>0.166225912238742</v>
      </c>
      <c r="M24" s="34">
        <v>0.17867849767208099</v>
      </c>
      <c r="N24" s="34">
        <v>0.175509303808212</v>
      </c>
      <c r="O24" s="34">
        <v>0.18067699670791601</v>
      </c>
      <c r="P24" s="34">
        <v>0.18386819958686801</v>
      </c>
      <c r="Q24" s="34">
        <v>0.18673110008239699</v>
      </c>
      <c r="R24" s="34">
        <v>0.189881026744843</v>
      </c>
      <c r="S24" s="34">
        <v>0.187117710709572</v>
      </c>
      <c r="T24" s="34">
        <v>0.19064706740706799</v>
      </c>
      <c r="U24" s="34">
        <v>0.18750544070535299</v>
      </c>
      <c r="V24" s="34">
        <v>0.175385491753621</v>
      </c>
      <c r="W24" s="34"/>
    </row>
    <row r="25" spans="1:23">
      <c r="A25" s="1" t="s">
        <v>1170</v>
      </c>
      <c r="B25" s="34">
        <v>0.97760788182341096</v>
      </c>
      <c r="C25" s="34">
        <v>0.96001130751869101</v>
      </c>
      <c r="D25" s="34">
        <v>0.982494348917067</v>
      </c>
      <c r="E25" s="34">
        <v>0.97571704645469204</v>
      </c>
      <c r="F25" s="34">
        <v>0.96148795972127199</v>
      </c>
      <c r="G25" s="34">
        <v>0.97959510021775797</v>
      </c>
      <c r="H25" s="34">
        <v>0.95869350419116095</v>
      </c>
      <c r="I25" s="34">
        <v>0.96113064334241805</v>
      </c>
      <c r="J25" s="34">
        <v>0.95682521970267798</v>
      </c>
      <c r="K25" s="34">
        <v>0.93974842978758399</v>
      </c>
      <c r="L25" s="34">
        <v>0.92528001971884599</v>
      </c>
      <c r="M25" s="34">
        <v>0.89856344461440996</v>
      </c>
      <c r="N25" s="34">
        <v>0.91523545980453502</v>
      </c>
      <c r="O25" s="34">
        <v>0.903084576129913</v>
      </c>
      <c r="P25" s="34">
        <v>0.90426665544509899</v>
      </c>
      <c r="Q25" s="34">
        <v>0.93631327152252197</v>
      </c>
      <c r="R25" s="34">
        <v>0.92412018775939897</v>
      </c>
      <c r="S25" s="34">
        <v>0.90140676498413097</v>
      </c>
      <c r="T25" s="34">
        <v>0.88970395327950802</v>
      </c>
      <c r="U25" s="34">
        <v>0.89008499781973005</v>
      </c>
      <c r="V25" s="34">
        <v>0.77428189965550498</v>
      </c>
      <c r="W25" s="34"/>
    </row>
    <row r="26" spans="1:23">
      <c r="A26" s="1" t="s">
        <v>1023</v>
      </c>
      <c r="B26" s="34">
        <v>0.68525434428680598</v>
      </c>
      <c r="C26" s="34">
        <v>0.70449826989619402</v>
      </c>
      <c r="D26" s="34">
        <v>0.71573231702319495</v>
      </c>
      <c r="E26" s="34">
        <v>0.71675396108693901</v>
      </c>
      <c r="F26" s="34">
        <v>0.71437686369020903</v>
      </c>
      <c r="G26" s="34">
        <v>0.72343331613727402</v>
      </c>
      <c r="H26" s="34">
        <v>0.71846108603039405</v>
      </c>
      <c r="I26" s="34">
        <v>0.73108346031470295</v>
      </c>
      <c r="J26" s="34">
        <v>0.75285605660904398</v>
      </c>
      <c r="K26" s="34">
        <v>0.73519623091675101</v>
      </c>
      <c r="L26" s="34">
        <v>0.73224905586122901</v>
      </c>
      <c r="M26" s="34">
        <v>0.71815986224683803</v>
      </c>
      <c r="N26" s="34">
        <v>0.70594162535920901</v>
      </c>
      <c r="O26" s="34">
        <v>0.68615599930743898</v>
      </c>
      <c r="P26" s="34">
        <v>0.68720480339332801</v>
      </c>
      <c r="Q26" s="34">
        <v>0.69409028826108798</v>
      </c>
      <c r="R26" s="34">
        <v>0.67556502961414799</v>
      </c>
      <c r="S26" s="34">
        <v>0.680664853803579</v>
      </c>
      <c r="T26" s="34">
        <v>0.67443912430144903</v>
      </c>
      <c r="U26" s="34">
        <v>0.680553760331984</v>
      </c>
      <c r="V26" s="34">
        <v>0.66936405369827101</v>
      </c>
      <c r="W26" s="34"/>
    </row>
    <row r="27" spans="1:23">
      <c r="A27" s="1" t="s">
        <v>1008</v>
      </c>
      <c r="B27" s="34">
        <v>1.5757401273183799E-2</v>
      </c>
      <c r="C27" s="34">
        <v>2.7682781866050901E-2</v>
      </c>
      <c r="D27" s="34">
        <v>3.9486042063439801E-2</v>
      </c>
      <c r="E27" s="34">
        <v>5.0661626386793203E-2</v>
      </c>
      <c r="F27" s="34">
        <v>6.0519888430545399E-2</v>
      </c>
      <c r="G27" s="34">
        <v>6.9826755676108507E-2</v>
      </c>
      <c r="H27" s="34">
        <v>7.5060675610782696E-2</v>
      </c>
      <c r="I27" s="34">
        <v>8.2506654075760799E-2</v>
      </c>
      <c r="J27" s="34">
        <v>9.8101038579417807E-2</v>
      </c>
      <c r="K27" s="34">
        <v>0.106372947845008</v>
      </c>
      <c r="L27" s="34">
        <v>0.117019389569972</v>
      </c>
      <c r="M27" s="34">
        <v>0.196053221821785</v>
      </c>
      <c r="N27" s="34">
        <v>0.32017314434051503</v>
      </c>
      <c r="O27" s="34">
        <v>0.37392145395278897</v>
      </c>
      <c r="P27" s="34">
        <v>0.44866475462913502</v>
      </c>
      <c r="Q27" s="34">
        <v>0.525160431861877</v>
      </c>
      <c r="R27" s="34">
        <v>0.56375706195831299</v>
      </c>
      <c r="S27" s="34">
        <v>0.60904282331466697</v>
      </c>
      <c r="T27" s="34">
        <v>0.66696229358263803</v>
      </c>
      <c r="U27" s="34">
        <v>0.71179276795227997</v>
      </c>
      <c r="V27" s="34">
        <v>0.77435670581233795</v>
      </c>
      <c r="W27" s="34"/>
    </row>
    <row r="28" spans="1:23">
      <c r="A28" s="1" t="s">
        <v>1010</v>
      </c>
      <c r="B28" s="34">
        <v>1.2104734525734899</v>
      </c>
      <c r="C28" s="34">
        <v>1.1808639254942299</v>
      </c>
      <c r="D28" s="34">
        <v>1.18260170109153</v>
      </c>
      <c r="E28" s="34">
        <v>1.12892892910308</v>
      </c>
      <c r="F28" s="34">
        <v>1.1214093877326401</v>
      </c>
      <c r="G28" s="34">
        <v>1.11875716597442</v>
      </c>
      <c r="H28" s="34">
        <v>1.1374154407035599</v>
      </c>
      <c r="I28" s="34">
        <v>1.15755300163162</v>
      </c>
      <c r="J28" s="34">
        <v>1.1659801838560999</v>
      </c>
      <c r="K28" s="34">
        <v>1.1255715211944901</v>
      </c>
      <c r="L28" s="34">
        <v>1.1292539621745199</v>
      </c>
      <c r="M28" s="34">
        <v>1.15122830867767</v>
      </c>
      <c r="N28" s="34">
        <v>1.2390215396881099</v>
      </c>
      <c r="O28" s="34">
        <v>1.26428842544556</v>
      </c>
      <c r="P28" s="34">
        <v>1.3124840259552</v>
      </c>
      <c r="Q28" s="34">
        <v>1.31852507591248</v>
      </c>
      <c r="R28" s="34">
        <v>1.34227430820465</v>
      </c>
      <c r="S28" s="34">
        <v>1.3750650882720901</v>
      </c>
      <c r="T28" s="34">
        <v>1.34518320213736</v>
      </c>
      <c r="U28" s="34">
        <v>1.3438550794177899</v>
      </c>
      <c r="V28" s="34">
        <v>1.2745149005583101</v>
      </c>
      <c r="W28" s="34"/>
    </row>
    <row r="29" spans="1:23">
      <c r="A29" s="1" t="s">
        <v>1171</v>
      </c>
      <c r="B29" s="34">
        <v>1.1831429566568401</v>
      </c>
      <c r="C29" s="34">
        <v>1.1418967607177399</v>
      </c>
      <c r="D29" s="34">
        <v>1.2205700281282601</v>
      </c>
      <c r="E29" s="34">
        <v>1.23216546633824</v>
      </c>
      <c r="F29" s="34">
        <v>1.2561618844834399</v>
      </c>
      <c r="G29" s="34">
        <v>1.3005954596765801</v>
      </c>
      <c r="H29" s="34">
        <v>1.3302742574139901</v>
      </c>
      <c r="I29" s="34">
        <v>1.3806502737026101</v>
      </c>
      <c r="J29" s="34">
        <v>1.4234976069901899</v>
      </c>
      <c r="K29" s="34">
        <v>1.4274706659846199</v>
      </c>
      <c r="L29" s="34">
        <v>1.44258238007106</v>
      </c>
      <c r="M29" s="34">
        <v>1.3967968225479099</v>
      </c>
      <c r="N29" s="34">
        <v>1.4592481851577801</v>
      </c>
      <c r="O29" s="34">
        <v>1.4417594671249401</v>
      </c>
      <c r="P29" s="34">
        <v>1.4317272901535001</v>
      </c>
      <c r="Q29" s="34">
        <v>1.41924369335175</v>
      </c>
      <c r="R29" s="34">
        <v>1.39972507953644</v>
      </c>
      <c r="S29" s="34">
        <v>1.36641585826874</v>
      </c>
      <c r="T29" s="34">
        <v>1.35556685804527</v>
      </c>
      <c r="U29" s="34">
        <v>1.37336709290103</v>
      </c>
      <c r="V29" s="34">
        <v>1.3247555050717601</v>
      </c>
      <c r="W29" s="34"/>
    </row>
    <row r="30" spans="1:23">
      <c r="A30" s="1" t="s">
        <v>1013</v>
      </c>
      <c r="B30" s="34">
        <v>1.7944255486819201</v>
      </c>
      <c r="C30" s="34">
        <v>1.78874811704631</v>
      </c>
      <c r="D30" s="34">
        <v>1.81056552474149</v>
      </c>
      <c r="E30" s="34">
        <v>1.89007369417531</v>
      </c>
      <c r="F30" s="34">
        <v>1.9871704408421</v>
      </c>
      <c r="G30" s="34">
        <v>2.0416286198601199</v>
      </c>
      <c r="H30" s="34">
        <v>2.25242715358997</v>
      </c>
      <c r="I30" s="34">
        <v>2.3552383408728899</v>
      </c>
      <c r="J30" s="34">
        <v>2.5501364243464102</v>
      </c>
      <c r="K30" s="34">
        <v>2.46959879102852</v>
      </c>
      <c r="L30" s="34">
        <v>2.6554256846920401</v>
      </c>
      <c r="M30" s="34">
        <v>2.9809119701385498</v>
      </c>
      <c r="N30" s="34">
        <v>3.04548192024231</v>
      </c>
      <c r="O30" s="34">
        <v>3.03339672088623</v>
      </c>
      <c r="P30" s="34">
        <v>3.0177555084228498</v>
      </c>
      <c r="Q30" s="34">
        <v>2.9406976699829102</v>
      </c>
      <c r="R30" s="34">
        <v>2.8347120285034202</v>
      </c>
      <c r="S30" s="34">
        <v>2.7489435672760001</v>
      </c>
      <c r="T30" s="34">
        <v>2.7665346186481599</v>
      </c>
      <c r="U30" s="34">
        <v>2.6991780211018899</v>
      </c>
      <c r="V30" s="34">
        <v>2.6161249333579901</v>
      </c>
      <c r="W30" s="34"/>
    </row>
    <row r="31" spans="1:23">
      <c r="A31" s="1" t="s">
        <v>330</v>
      </c>
      <c r="B31" s="34">
        <v>0.75712764776210595</v>
      </c>
      <c r="C31" s="34">
        <v>0.80181489965729003</v>
      </c>
      <c r="D31" s="34">
        <v>0.86666897421923705</v>
      </c>
      <c r="E31" s="34">
        <v>0.97076348386822897</v>
      </c>
      <c r="F31" s="34">
        <v>1.01859492293493</v>
      </c>
      <c r="G31" s="34">
        <v>1.0612322288926299</v>
      </c>
      <c r="H31" s="34">
        <v>1.09983961174032</v>
      </c>
      <c r="I31" s="34">
        <v>1.1400342048596499</v>
      </c>
      <c r="J31" s="34">
        <v>1.2164511319606099</v>
      </c>
      <c r="K31" s="34">
        <v>1.29553953015128</v>
      </c>
      <c r="L31" s="34">
        <v>1.3884878458797001</v>
      </c>
      <c r="M31" s="34">
        <v>1.4732164144516</v>
      </c>
      <c r="N31" s="34">
        <v>1.6057044267654399</v>
      </c>
      <c r="O31" s="34">
        <v>1.70127630233765</v>
      </c>
      <c r="P31" s="34">
        <v>1.8132010698318499</v>
      </c>
      <c r="Q31" s="34">
        <v>1.98881411552429</v>
      </c>
      <c r="R31" s="34">
        <v>2.1330816745758101</v>
      </c>
      <c r="S31" s="34">
        <v>2.1815569400787398</v>
      </c>
      <c r="T31" s="34">
        <v>2.22613682539341</v>
      </c>
      <c r="U31" s="34">
        <v>2.2807125509918702</v>
      </c>
      <c r="V31" s="34">
        <v>2.3618448812481398</v>
      </c>
      <c r="W31" s="34"/>
    </row>
    <row r="32" spans="1:23">
      <c r="A32" s="1" t="s">
        <v>1172</v>
      </c>
      <c r="B32" s="34">
        <v>1.77383881698965</v>
      </c>
      <c r="C32" s="34">
        <v>1.7749143654694199</v>
      </c>
      <c r="D32" s="34">
        <v>1.7631393502475201</v>
      </c>
      <c r="E32" s="34">
        <v>1.75030883022564</v>
      </c>
      <c r="F32" s="34">
        <v>1.8037583506313399</v>
      </c>
      <c r="G32" s="34">
        <v>1.8659060901559701</v>
      </c>
      <c r="H32" s="34">
        <v>1.8883549195709199</v>
      </c>
      <c r="I32" s="34">
        <v>1.9940914140071999</v>
      </c>
      <c r="J32" s="34">
        <v>1.98855629277341</v>
      </c>
      <c r="K32" s="34">
        <v>1.94026022869213</v>
      </c>
      <c r="L32" s="34">
        <v>1.99114071891737</v>
      </c>
      <c r="M32" s="34">
        <v>2.0188870429992698</v>
      </c>
      <c r="N32" s="34">
        <v>2.1227371692657502</v>
      </c>
      <c r="O32" s="34">
        <v>2.1456098556518599</v>
      </c>
      <c r="P32" s="34">
        <v>2.17311811447144</v>
      </c>
      <c r="Q32" s="34">
        <v>2.1307795047760001</v>
      </c>
      <c r="R32" s="34">
        <v>2.11886811256409</v>
      </c>
      <c r="S32" s="34">
        <v>2.2030050754547101</v>
      </c>
      <c r="T32" s="34">
        <v>2.2110737727332701</v>
      </c>
      <c r="U32" s="34">
        <v>2.2267518734285399</v>
      </c>
      <c r="V32" s="34">
        <v>2.3032733294366898</v>
      </c>
      <c r="W32" s="34"/>
    </row>
    <row r="33" spans="1:23">
      <c r="A33" s="1" t="s">
        <v>1025</v>
      </c>
      <c r="B33" s="34">
        <v>0.46739851414854</v>
      </c>
      <c r="C33" s="34">
        <v>0.43179105139256502</v>
      </c>
      <c r="D33" s="34">
        <v>0.42665813412294401</v>
      </c>
      <c r="E33" s="34">
        <v>0.444450092444796</v>
      </c>
      <c r="F33" s="34">
        <v>0.501553287524379</v>
      </c>
      <c r="G33" s="34">
        <v>0.57768191939198998</v>
      </c>
      <c r="H33" s="34">
        <v>0.61705251773587899</v>
      </c>
      <c r="I33" s="34">
        <v>0.60764327529408602</v>
      </c>
      <c r="J33" s="34">
        <v>0.67170426276945305</v>
      </c>
      <c r="K33" s="34">
        <v>0.51935596644159898</v>
      </c>
      <c r="L33" s="34">
        <v>0.59904715882609205</v>
      </c>
      <c r="M33" s="34">
        <v>0.70520681142806996</v>
      </c>
      <c r="N33" s="34">
        <v>0.67601227760314897</v>
      </c>
      <c r="O33" s="34">
        <v>0.66810786724090598</v>
      </c>
      <c r="P33" s="34">
        <v>0.64969736337661699</v>
      </c>
      <c r="Q33" s="34">
        <v>0.68511360883712802</v>
      </c>
      <c r="R33" s="34">
        <v>0.66635441780090299</v>
      </c>
      <c r="S33" s="34">
        <v>0.64685362577438399</v>
      </c>
      <c r="T33" s="34">
        <v>0.68991365501399604</v>
      </c>
      <c r="U33" s="34">
        <v>0.65520336333840001</v>
      </c>
      <c r="V33" s="34">
        <v>0.57706880232535696</v>
      </c>
      <c r="W33" s="34"/>
    </row>
    <row r="34" spans="1:23">
      <c r="A34" s="1" t="s">
        <v>322</v>
      </c>
      <c r="B34" s="34">
        <v>11.970034875948601</v>
      </c>
      <c r="C34" s="34">
        <v>12.3407960882776</v>
      </c>
      <c r="D34" s="34">
        <v>12.7263276959557</v>
      </c>
      <c r="E34" s="34">
        <v>12.877390372694199</v>
      </c>
      <c r="F34" s="34">
        <v>13.004384958817001</v>
      </c>
      <c r="G34" s="34">
        <v>13.355973720739099</v>
      </c>
      <c r="H34" s="34">
        <v>13.666279343072301</v>
      </c>
      <c r="I34" s="34">
        <v>13.7018353559272</v>
      </c>
      <c r="J34" s="34">
        <v>14.1810311854288</v>
      </c>
      <c r="K34" s="34">
        <v>14.74312736365</v>
      </c>
      <c r="L34" s="34">
        <v>15.426478796788301</v>
      </c>
      <c r="M34" s="34">
        <v>16.396804809570298</v>
      </c>
      <c r="N34" s="34">
        <v>17.147607803344702</v>
      </c>
      <c r="O34" s="34">
        <v>18.135402679443398</v>
      </c>
      <c r="P34" s="34">
        <v>18.677070617675799</v>
      </c>
      <c r="Q34" s="34">
        <v>18.586774826049801</v>
      </c>
      <c r="R34" s="34">
        <v>18.831047058105501</v>
      </c>
      <c r="S34" s="34">
        <v>19.208339691162099</v>
      </c>
      <c r="T34" s="34">
        <v>19.087979133280601</v>
      </c>
      <c r="U34" s="34">
        <v>18.921807422539999</v>
      </c>
      <c r="V34" s="34">
        <v>19.977729441194501</v>
      </c>
      <c r="W34" s="34"/>
    </row>
    <row r="35" spans="1:23">
      <c r="A35" s="1" t="s">
        <v>1015</v>
      </c>
      <c r="B35" s="34">
        <v>2.0457340983834</v>
      </c>
      <c r="C35" s="34">
        <v>2.1682338059330202</v>
      </c>
      <c r="D35" s="34">
        <v>2.1598156145638998</v>
      </c>
      <c r="E35" s="34">
        <v>2.18954391189413</v>
      </c>
      <c r="F35" s="34">
        <v>2.3470362207893301</v>
      </c>
      <c r="G35" s="34">
        <v>2.6282929671798199</v>
      </c>
      <c r="H35" s="34">
        <v>2.7417381375213199</v>
      </c>
      <c r="I35" s="34">
        <v>2.8015819165171099</v>
      </c>
      <c r="J35" s="34">
        <v>2.8780969715234601</v>
      </c>
      <c r="K35" s="34">
        <v>3.0409123355105301</v>
      </c>
      <c r="L35" s="34">
        <v>3.2740113391645602</v>
      </c>
      <c r="M35" s="34">
        <v>3.6546580791473402</v>
      </c>
      <c r="N35" s="34">
        <v>3.9637868404388401</v>
      </c>
      <c r="O35" s="34">
        <v>4.1258492469787598</v>
      </c>
      <c r="P35" s="34">
        <v>4.2844295501709002</v>
      </c>
      <c r="Q35" s="34">
        <v>4.4301252365112296</v>
      </c>
      <c r="R35" s="34">
        <v>4.5750570297241202</v>
      </c>
      <c r="S35" s="34">
        <v>4.7338495254516602</v>
      </c>
      <c r="T35" s="34">
        <v>4.6075127701971503</v>
      </c>
      <c r="U35" s="34">
        <v>4.5468775351231301</v>
      </c>
      <c r="V35" s="34">
        <v>4.7466375778040604</v>
      </c>
      <c r="W35" s="34"/>
    </row>
    <row r="36" spans="1:23">
      <c r="A36" s="1" t="s">
        <v>1034</v>
      </c>
      <c r="B36" s="34">
        <v>265.18802568376799</v>
      </c>
      <c r="C36" s="34">
        <v>260.601465453949</v>
      </c>
      <c r="D36" s="34">
        <v>250.458644781668</v>
      </c>
      <c r="E36" s="34">
        <v>249.17834174635399</v>
      </c>
      <c r="F36" s="34">
        <v>231.872847840812</v>
      </c>
      <c r="G36" s="34">
        <v>234.28679751092201</v>
      </c>
      <c r="H36" s="34">
        <v>234.986844183035</v>
      </c>
      <c r="I36" s="34">
        <v>233.04617644109999</v>
      </c>
      <c r="J36" s="34">
        <v>244.777769175538</v>
      </c>
      <c r="K36" s="34">
        <v>244.65455331636099</v>
      </c>
      <c r="L36" s="34">
        <v>252.02103679849401</v>
      </c>
      <c r="M36" s="34">
        <v>256.76135253906301</v>
      </c>
      <c r="N36" s="34">
        <v>262.12899780273398</v>
      </c>
      <c r="O36" s="34">
        <v>254.34715270996099</v>
      </c>
      <c r="P36" s="34">
        <v>290.94522094726602</v>
      </c>
      <c r="Q36" s="34">
        <v>283.52374267578102</v>
      </c>
      <c r="R36" s="34">
        <v>280.04779052734398</v>
      </c>
      <c r="S36" s="34">
        <v>286.82916259765602</v>
      </c>
      <c r="T36" s="34">
        <v>276.67512021892702</v>
      </c>
      <c r="U36" s="34">
        <v>278.29571824500402</v>
      </c>
      <c r="V36" s="34">
        <v>287.19483649835701</v>
      </c>
      <c r="W36" s="34"/>
    </row>
    <row r="37" spans="1:23">
      <c r="A37" s="1" t="s">
        <v>1033</v>
      </c>
      <c r="B37" s="34">
        <v>1.2275990000000001</v>
      </c>
      <c r="C37" s="34">
        <v>1.220464</v>
      </c>
      <c r="D37" s="34">
        <v>1.229333</v>
      </c>
      <c r="E37" s="34">
        <v>1.225714</v>
      </c>
      <c r="F37" s="34">
        <v>1.2326619999999999</v>
      </c>
      <c r="G37" s="34">
        <v>1.2136439999999999</v>
      </c>
      <c r="H37" s="34">
        <v>1.205365</v>
      </c>
      <c r="I37" s="34">
        <v>1.212099</v>
      </c>
      <c r="J37" s="34">
        <v>1.2343900000000001</v>
      </c>
      <c r="K37" s="34">
        <v>1.2022440000000001</v>
      </c>
      <c r="L37" s="34">
        <v>1.2218199999999999</v>
      </c>
      <c r="M37" s="34">
        <v>1.2399039999999999</v>
      </c>
      <c r="N37" s="34">
        <v>1.244607</v>
      </c>
      <c r="O37" s="34">
        <v>1.224</v>
      </c>
      <c r="P37" s="34">
        <v>1.2303580000000001</v>
      </c>
      <c r="Q37" s="34">
        <v>1.2480420000000001</v>
      </c>
      <c r="R37" s="34">
        <v>1.2070449999999999</v>
      </c>
      <c r="S37" s="34">
        <v>1.212304</v>
      </c>
      <c r="T37" s="34">
        <v>1.2065239999999999</v>
      </c>
      <c r="U37" s="34">
        <v>1.246847</v>
      </c>
      <c r="V37" s="34">
        <v>1.245722</v>
      </c>
      <c r="W37" s="34">
        <v>1.286727</v>
      </c>
    </row>
    <row r="38" spans="1:23">
      <c r="A38" s="1" t="s">
        <v>1217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</row>
    <row r="39" spans="1:23">
      <c r="A39" s="1" t="s">
        <v>1155</v>
      </c>
      <c r="B39" s="34">
        <v>1.7888869999999999</v>
      </c>
      <c r="C39" s="34">
        <v>1.769144</v>
      </c>
      <c r="D39" s="34">
        <v>1.7097599999999999</v>
      </c>
      <c r="E39" s="34">
        <v>1.715249</v>
      </c>
      <c r="F39" s="34">
        <v>1.6918059999999999</v>
      </c>
      <c r="G39" s="34">
        <v>1.6865479999999999</v>
      </c>
      <c r="H39" s="34">
        <v>1.598848</v>
      </c>
      <c r="I39" s="34">
        <v>1.532132</v>
      </c>
      <c r="J39" s="34">
        <v>1.4930490000000001</v>
      </c>
      <c r="K39" s="34">
        <v>1.470062</v>
      </c>
      <c r="L39" s="34">
        <v>1.466062</v>
      </c>
      <c r="M39" s="34">
        <v>1.3974979999999999</v>
      </c>
      <c r="N39" s="34">
        <v>1.3540719999999999</v>
      </c>
      <c r="O39" s="34">
        <v>1.3124769999999999</v>
      </c>
      <c r="P39" s="34">
        <v>1.2817609999999999</v>
      </c>
      <c r="Q39" s="34">
        <v>1.2357880000000001</v>
      </c>
      <c r="R39" s="34">
        <v>1.201964</v>
      </c>
      <c r="S39" s="34">
        <v>1.1877260000000001</v>
      </c>
      <c r="T39" s="34">
        <v>1.178866</v>
      </c>
      <c r="U39" s="34">
        <v>1.1772689999999999</v>
      </c>
      <c r="V39" s="34">
        <v>1.139775</v>
      </c>
      <c r="W39" s="34">
        <v>1.109307</v>
      </c>
    </row>
    <row r="40" spans="1:23">
      <c r="A40" s="1" t="s">
        <v>1211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</row>
    <row r="41" spans="1:23">
      <c r="A41" s="1" t="s">
        <v>1037</v>
      </c>
      <c r="B41" s="34">
        <v>287.04525100000001</v>
      </c>
      <c r="C41" s="34">
        <v>291.55924599999997</v>
      </c>
      <c r="D41" s="34">
        <v>296.82318400000003</v>
      </c>
      <c r="E41" s="34">
        <v>304.40616399999999</v>
      </c>
      <c r="F41" s="34">
        <v>319.71810199999999</v>
      </c>
      <c r="G41" s="34">
        <v>333.69</v>
      </c>
      <c r="H41" s="34">
        <v>318.57472200000001</v>
      </c>
      <c r="I41" s="34">
        <v>323.878962</v>
      </c>
      <c r="J41" s="34">
        <v>340.40083299999998</v>
      </c>
      <c r="K41" s="34">
        <v>354.32588500000003</v>
      </c>
      <c r="L41" s="34">
        <v>359.83702</v>
      </c>
      <c r="M41" s="34">
        <v>348.01684699999998</v>
      </c>
      <c r="N41" s="34">
        <v>347.22850699999998</v>
      </c>
      <c r="O41" s="34">
        <v>349.68053600000002</v>
      </c>
      <c r="P41" s="34">
        <v>367.21390700000001</v>
      </c>
      <c r="Q41" s="34">
        <v>391.17886099999998</v>
      </c>
      <c r="R41" s="34">
        <v>397.25070299999999</v>
      </c>
      <c r="S41" s="34">
        <v>397.68940099999998</v>
      </c>
      <c r="T41" s="34">
        <v>396.22941300000002</v>
      </c>
      <c r="U41" s="34">
        <v>408.02164299999998</v>
      </c>
      <c r="V41" s="34">
        <v>417.72461900000002</v>
      </c>
      <c r="W41" s="34">
        <v>435.22006299999998</v>
      </c>
    </row>
    <row r="42" spans="1:23">
      <c r="A42" s="1" t="s">
        <v>147</v>
      </c>
      <c r="B42" s="34">
        <v>2.71936444316992</v>
      </c>
      <c r="C42" s="34">
        <v>2.7154693845302802</v>
      </c>
      <c r="D42" s="34">
        <v>2.68928114635992</v>
      </c>
      <c r="E42" s="34">
        <v>2.7089795840919502</v>
      </c>
      <c r="F42" s="34">
        <v>2.82135089555657</v>
      </c>
      <c r="G42" s="34">
        <v>2.8429334805509701</v>
      </c>
      <c r="H42" s="34">
        <v>2.8677778418261299</v>
      </c>
      <c r="I42" s="34">
        <v>3.0091864918243498</v>
      </c>
      <c r="J42" s="34">
        <v>3.1818714023485701</v>
      </c>
      <c r="K42" s="34">
        <v>3.1511812900571101</v>
      </c>
      <c r="L42" s="34">
        <v>3.3292321612341702</v>
      </c>
      <c r="M42" s="34">
        <v>3.5244677066803001</v>
      </c>
      <c r="N42" s="34">
        <v>3.5609679222106898</v>
      </c>
      <c r="O42" s="34">
        <v>3.6636447906494101</v>
      </c>
      <c r="P42" s="34">
        <v>3.75884985923767</v>
      </c>
      <c r="Q42" s="34">
        <v>3.8706972599029501</v>
      </c>
      <c r="R42" s="34">
        <v>3.98883724212646</v>
      </c>
      <c r="S42" s="34">
        <v>4.1838111877441397</v>
      </c>
      <c r="T42" s="34">
        <v>4.2287036449810396</v>
      </c>
      <c r="U42" s="34">
        <v>4.2080265276453197</v>
      </c>
      <c r="V42" s="34">
        <v>4.1839103069605699</v>
      </c>
      <c r="W42" s="34"/>
    </row>
    <row r="43" spans="1:23">
      <c r="A43" s="1" t="s">
        <v>1029</v>
      </c>
      <c r="B43" s="34">
        <v>218.36902115003701</v>
      </c>
      <c r="C43" s="34">
        <v>228.37477667712301</v>
      </c>
      <c r="D43" s="34">
        <v>235.12017860245399</v>
      </c>
      <c r="E43" s="34">
        <v>238.40037982785501</v>
      </c>
      <c r="F43" s="34">
        <v>226.338844169553</v>
      </c>
      <c r="G43" s="34">
        <v>222.35788360404101</v>
      </c>
      <c r="H43" s="34">
        <v>218.76077535708399</v>
      </c>
      <c r="I43" s="34">
        <v>219.61776439361299</v>
      </c>
      <c r="J43" s="34">
        <v>227.00218924353001</v>
      </c>
      <c r="K43" s="34">
        <v>228.00567346255801</v>
      </c>
      <c r="L43" s="34">
        <v>228.79668177272401</v>
      </c>
      <c r="M43" s="34">
        <v>236.91058349609401</v>
      </c>
      <c r="N43" s="34">
        <v>241.71537780761699</v>
      </c>
      <c r="O43" s="34">
        <v>247.24160766601599</v>
      </c>
      <c r="P43" s="34">
        <v>246.51933288574199</v>
      </c>
      <c r="Q43" s="34">
        <v>250.63824462890599</v>
      </c>
      <c r="R43" s="34">
        <v>252.41082763671901</v>
      </c>
      <c r="S43" s="34">
        <v>253.74560546875</v>
      </c>
      <c r="T43" s="34">
        <v>249.36918691715701</v>
      </c>
      <c r="U43" s="34">
        <v>245.486840398189</v>
      </c>
      <c r="V43" s="34">
        <v>244.92735198918001</v>
      </c>
      <c r="W43" s="34"/>
    </row>
    <row r="44" spans="1:23">
      <c r="A44" s="1" t="s">
        <v>1021</v>
      </c>
      <c r="B44" s="34">
        <v>238.42567925324599</v>
      </c>
      <c r="C44" s="34">
        <v>239.06945500082</v>
      </c>
      <c r="D44" s="34">
        <v>241.87650684117301</v>
      </c>
      <c r="E44" s="34">
        <v>242.10404547611401</v>
      </c>
      <c r="F44" s="34">
        <v>236.08582008046099</v>
      </c>
      <c r="G44" s="34">
        <v>232.06126518266501</v>
      </c>
      <c r="H44" s="34">
        <v>230.424794217108</v>
      </c>
      <c r="I44" s="34">
        <v>225.498001941517</v>
      </c>
      <c r="J44" s="34">
        <v>232.12370200619401</v>
      </c>
      <c r="K44" s="34">
        <v>238.668823119244</v>
      </c>
      <c r="L44" s="34">
        <v>237.54333611204299</v>
      </c>
      <c r="M44" s="34">
        <v>238.70707702636699</v>
      </c>
      <c r="N44" s="34">
        <v>242.19395446777301</v>
      </c>
      <c r="O44" s="34">
        <v>241.0830078125</v>
      </c>
      <c r="P44" s="34">
        <v>239.11933898925801</v>
      </c>
      <c r="Q44" s="34">
        <v>240.70826721191401</v>
      </c>
      <c r="R44" s="34">
        <v>237.44375610351599</v>
      </c>
      <c r="S44" s="34">
        <v>232.80139160156301</v>
      </c>
      <c r="T44" s="34">
        <v>231.65560711769899</v>
      </c>
      <c r="U44" s="34">
        <v>230.25504761215001</v>
      </c>
      <c r="V44" s="34">
        <v>228.764378154393</v>
      </c>
      <c r="W44" s="34"/>
    </row>
    <row r="45" spans="1:23">
      <c r="A45" s="1" t="s">
        <v>1040</v>
      </c>
      <c r="B45" s="34">
        <v>62.538659686066801</v>
      </c>
      <c r="C45" s="34">
        <v>105.906249425246</v>
      </c>
      <c r="D45" s="34">
        <v>137.32695419215401</v>
      </c>
      <c r="E45" s="34">
        <v>152.91029809416699</v>
      </c>
      <c r="F45" s="34">
        <v>158.379818616215</v>
      </c>
      <c r="G45" s="34">
        <v>199.473662783262</v>
      </c>
      <c r="H45" s="34">
        <v>219.414059478844</v>
      </c>
      <c r="I45" s="34">
        <v>256.98906076088599</v>
      </c>
      <c r="J45" s="34">
        <v>303.675791631886</v>
      </c>
      <c r="K45" s="34">
        <v>399.80212504284498</v>
      </c>
      <c r="L45" s="34">
        <v>477.34404068086099</v>
      </c>
      <c r="M45" s="34">
        <v>532.06341552734398</v>
      </c>
      <c r="N45" s="34">
        <v>583.254638671875</v>
      </c>
      <c r="O45" s="34">
        <v>558.90661621093795</v>
      </c>
      <c r="P45" s="34">
        <v>530.01763916015602</v>
      </c>
      <c r="Q45" s="34">
        <v>508.59552001953102</v>
      </c>
      <c r="R45" s="34">
        <v>494.126708984375</v>
      </c>
      <c r="S45" s="34">
        <v>645.39056396484398</v>
      </c>
      <c r="T45" s="34">
        <v>818.30135948449004</v>
      </c>
      <c r="U45" s="34">
        <v>836.15689617131</v>
      </c>
      <c r="V45" s="34">
        <v>881.85476894390104</v>
      </c>
      <c r="W45" s="34"/>
    </row>
    <row r="46" spans="1:23">
      <c r="A46" s="1" t="s">
        <v>1042</v>
      </c>
      <c r="B46" s="34">
        <v>216.40003501407099</v>
      </c>
      <c r="C46" s="34">
        <v>182.267967859203</v>
      </c>
      <c r="D46" s="34">
        <v>176.30965897109201</v>
      </c>
      <c r="E46" s="34">
        <v>165.73591500096401</v>
      </c>
      <c r="F46" s="34">
        <v>188.51628685853399</v>
      </c>
      <c r="G46" s="34">
        <v>221.81641482426301</v>
      </c>
      <c r="H46" s="34">
        <v>239.80286670781899</v>
      </c>
      <c r="I46" s="34">
        <v>249.269779304406</v>
      </c>
      <c r="J46" s="34">
        <v>284.29409225920398</v>
      </c>
      <c r="K46" s="34">
        <v>222.42691336127299</v>
      </c>
      <c r="L46" s="34">
        <v>284.54410764553501</v>
      </c>
      <c r="M46" s="34">
        <v>309.25119018554699</v>
      </c>
      <c r="N46" s="34">
        <v>316.11636352539102</v>
      </c>
      <c r="O46" s="34">
        <v>316.15191650390602</v>
      </c>
      <c r="P46" s="34">
        <v>314.80508422851602</v>
      </c>
      <c r="Q46" s="34">
        <v>311.99905395507801</v>
      </c>
      <c r="R46" s="34">
        <v>316.62527465820301</v>
      </c>
      <c r="S46" s="34">
        <v>297.67398071289102</v>
      </c>
      <c r="T46" s="34">
        <v>359.91194812609598</v>
      </c>
      <c r="U46" s="34">
        <v>348.201631273548</v>
      </c>
      <c r="V46" s="34">
        <v>293.350159629632</v>
      </c>
      <c r="W46" s="34"/>
    </row>
    <row r="47" spans="1:23">
      <c r="A47" s="1" t="s">
        <v>421</v>
      </c>
      <c r="B47" s="34">
        <v>786.49607067372597</v>
      </c>
      <c r="C47" s="34">
        <v>819.78210196124996</v>
      </c>
      <c r="D47" s="34">
        <v>855.18131836203497</v>
      </c>
      <c r="E47" s="34">
        <v>896.925025899209</v>
      </c>
      <c r="F47" s="34">
        <v>937.02176167665198</v>
      </c>
      <c r="G47" s="34">
        <v>951.90883224923903</v>
      </c>
      <c r="H47" s="34">
        <v>977.60804889946905</v>
      </c>
      <c r="I47" s="34">
        <v>1001.55888506311</v>
      </c>
      <c r="J47" s="34">
        <v>1057.8753274150099</v>
      </c>
      <c r="K47" s="34">
        <v>1092.5407813654699</v>
      </c>
      <c r="L47" s="34">
        <v>1121.0474205610401</v>
      </c>
      <c r="M47" s="34">
        <v>1168.24304199219</v>
      </c>
      <c r="N47" s="34">
        <v>1203.58520507813</v>
      </c>
      <c r="O47" s="34">
        <v>1206.67907714844</v>
      </c>
      <c r="P47" s="34">
        <v>1220.60729980469</v>
      </c>
      <c r="Q47" s="34">
        <v>1276.47937011719</v>
      </c>
      <c r="R47" s="34">
        <v>1298.142605</v>
      </c>
      <c r="S47" s="34">
        <v>1328.016627</v>
      </c>
      <c r="T47" s="34">
        <v>1322.160543</v>
      </c>
      <c r="U47" s="34">
        <v>1343.6017810000001</v>
      </c>
      <c r="V47" s="34">
        <v>1320.0953999999999</v>
      </c>
      <c r="W47" s="34">
        <v>1362.009599</v>
      </c>
    </row>
    <row r="48" spans="1:23">
      <c r="A48" s="1" t="s">
        <v>1026</v>
      </c>
      <c r="B48" s="34">
        <v>191.39866127452501</v>
      </c>
      <c r="C48" s="34">
        <v>203.453729431412</v>
      </c>
      <c r="D48" s="34">
        <v>208.63891132077299</v>
      </c>
      <c r="E48" s="34">
        <v>215.30574343254699</v>
      </c>
      <c r="F48" s="34">
        <v>216.76529918065901</v>
      </c>
      <c r="G48" s="34">
        <v>210.88119340522101</v>
      </c>
      <c r="H48" s="34">
        <v>211.05427478025601</v>
      </c>
      <c r="I48" s="34">
        <v>212.81907182645401</v>
      </c>
      <c r="J48" s="34">
        <v>215.24920431783499</v>
      </c>
      <c r="K48" s="34">
        <v>215.81198178718199</v>
      </c>
      <c r="L48" s="34">
        <v>216.85341675842301</v>
      </c>
      <c r="M48" s="34">
        <v>218.97758483886699</v>
      </c>
      <c r="N48" s="34">
        <v>213.963623046875</v>
      </c>
      <c r="O48" s="34">
        <v>211.50003051757801</v>
      </c>
      <c r="P48" s="34">
        <v>206.34310913085901</v>
      </c>
      <c r="Q48" s="34">
        <v>203.34403991699199</v>
      </c>
      <c r="R48" s="34">
        <v>197.570556640625</v>
      </c>
      <c r="S48" s="34">
        <v>190.125900268555</v>
      </c>
      <c r="T48" s="34">
        <v>189.07615956422501</v>
      </c>
      <c r="U48" s="34">
        <v>193.19078780570501</v>
      </c>
      <c r="V48" s="34">
        <v>194.06381868944601</v>
      </c>
      <c r="W48" s="34"/>
    </row>
    <row r="49" spans="1:23">
      <c r="A49" s="1" t="s">
        <v>1030</v>
      </c>
      <c r="B49" s="34">
        <v>53.331366542394598</v>
      </c>
      <c r="C49" s="34">
        <v>54.877089191222197</v>
      </c>
      <c r="D49" s="34">
        <v>53.826365163739098</v>
      </c>
      <c r="E49" s="34">
        <v>55.445537868075299</v>
      </c>
      <c r="F49" s="34">
        <v>50.572893564645902</v>
      </c>
      <c r="G49" s="34">
        <v>48.164861526797402</v>
      </c>
      <c r="H49" s="34">
        <v>48.919205498090299</v>
      </c>
      <c r="I49" s="34">
        <v>48.289933529972302</v>
      </c>
      <c r="J49" s="34">
        <v>49.048209770377703</v>
      </c>
      <c r="K49" s="34">
        <v>49.735662681685604</v>
      </c>
      <c r="L49" s="34">
        <v>49.411107374439403</v>
      </c>
      <c r="M49" s="34">
        <v>49.695461273193402</v>
      </c>
      <c r="N49" s="34">
        <v>51.140789031982401</v>
      </c>
      <c r="O49" s="34">
        <v>51.855216979980497</v>
      </c>
      <c r="P49" s="34">
        <v>51.839725494384801</v>
      </c>
      <c r="Q49" s="34">
        <v>50.452663421630902</v>
      </c>
      <c r="R49" s="34">
        <v>49.364143371582003</v>
      </c>
      <c r="S49" s="34">
        <v>48.477127075195298</v>
      </c>
      <c r="T49" s="34">
        <v>48.061878239600397</v>
      </c>
      <c r="U49" s="34">
        <v>47.484781973245902</v>
      </c>
      <c r="V49" s="34">
        <v>46.514823075158802</v>
      </c>
      <c r="W49" s="34"/>
    </row>
    <row r="50" spans="1:23">
      <c r="A50" s="1" t="s">
        <v>1028</v>
      </c>
      <c r="B50" s="34">
        <v>148.97715994764101</v>
      </c>
      <c r="C50" s="34">
        <v>159.95073715134799</v>
      </c>
      <c r="D50" s="34">
        <v>172.87053178381899</v>
      </c>
      <c r="E50" s="34">
        <v>187.79074281856199</v>
      </c>
      <c r="F50" s="34">
        <v>207.28101846929999</v>
      </c>
      <c r="G50" s="34">
        <v>227.17868686202601</v>
      </c>
      <c r="H50" s="34">
        <v>249.13688106901299</v>
      </c>
      <c r="I50" s="34">
        <v>268.1352138698</v>
      </c>
      <c r="J50" s="34">
        <v>293.06588880015101</v>
      </c>
      <c r="K50" s="34">
        <v>319.06479008930899</v>
      </c>
      <c r="L50" s="34">
        <v>336.29640435367003</v>
      </c>
      <c r="M50" s="34">
        <v>344.54602050781301</v>
      </c>
      <c r="N50" s="34">
        <v>353.78475952148398</v>
      </c>
      <c r="O50" s="34">
        <v>357.828125</v>
      </c>
      <c r="P50" s="34">
        <v>363.42178344726602</v>
      </c>
      <c r="Q50" s="34">
        <v>364.16271972656301</v>
      </c>
      <c r="R50" s="34">
        <v>343.01361700000001</v>
      </c>
      <c r="S50" s="34">
        <v>340.99188199999998</v>
      </c>
      <c r="T50" s="34">
        <v>337.90193599999998</v>
      </c>
      <c r="U50" s="34">
        <v>331.16774199999998</v>
      </c>
      <c r="V50" s="34">
        <v>320.849715</v>
      </c>
      <c r="W50" s="34">
        <v>314.617096</v>
      </c>
    </row>
    <row r="51" spans="1:23">
      <c r="A51" s="1" t="s">
        <v>1216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3">
      <c r="A52" s="1" t="s">
        <v>449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>
        <v>0.32193871145563202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3">
      <c r="A53" s="1" t="s">
        <v>1173</v>
      </c>
      <c r="B53" s="34">
        <v>1.24904885120075</v>
      </c>
      <c r="C53" s="34">
        <v>1.2441179987041999</v>
      </c>
      <c r="D53" s="34">
        <v>1.2297669013413699</v>
      </c>
      <c r="E53" s="34">
        <v>1.2269043645256701</v>
      </c>
      <c r="F53" s="34">
        <v>1.2112268399406501</v>
      </c>
      <c r="G53" s="34">
        <v>1.2227976948594399</v>
      </c>
      <c r="H53" s="34">
        <v>1.2240296379218301</v>
      </c>
      <c r="I53" s="34">
        <v>1.22776919391658</v>
      </c>
      <c r="J53" s="34">
        <v>1.28744282493919</v>
      </c>
      <c r="K53" s="34">
        <v>1.30070089194701</v>
      </c>
      <c r="L53" s="34">
        <v>1.3214620408614299</v>
      </c>
      <c r="M53" s="34">
        <v>1.3246216773986801</v>
      </c>
      <c r="N53" s="34">
        <v>1.4078603982925399</v>
      </c>
      <c r="O53" s="34">
        <v>1.41306436061859</v>
      </c>
      <c r="P53" s="34">
        <v>1.4287959337234499</v>
      </c>
      <c r="Q53" s="34">
        <v>1.42337906360626</v>
      </c>
      <c r="R53" s="34">
        <v>1.41097772121429</v>
      </c>
      <c r="S53" s="34">
        <v>1.3671565055847199</v>
      </c>
      <c r="T53" s="34">
        <v>1.36960833068752</v>
      </c>
      <c r="U53" s="34">
        <v>1.3813156376438001</v>
      </c>
      <c r="V53" s="34">
        <v>1.39978947661572</v>
      </c>
      <c r="W53" s="34"/>
    </row>
    <row r="54" spans="1:23">
      <c r="A54" s="1" t="s">
        <v>1174</v>
      </c>
      <c r="B54" s="34"/>
      <c r="C54" s="34"/>
      <c r="D54" s="34"/>
      <c r="E54" s="34"/>
      <c r="F54" s="34"/>
      <c r="G54" s="34"/>
      <c r="H54" s="34">
        <v>0.96627583478738799</v>
      </c>
      <c r="I54" s="34">
        <v>0.96991344724476203</v>
      </c>
      <c r="J54" s="34">
        <v>0.98040362433620598</v>
      </c>
      <c r="K54" s="34">
        <v>0.978924936475978</v>
      </c>
      <c r="L54" s="34">
        <v>0.96565211177629495</v>
      </c>
      <c r="M54" s="34">
        <v>0.94153791666030895</v>
      </c>
      <c r="N54" s="34">
        <v>0.965750873088837</v>
      </c>
      <c r="O54" s="34">
        <v>0.98109811544418302</v>
      </c>
      <c r="P54" s="34">
        <v>0.99083691835403398</v>
      </c>
      <c r="Q54" s="34">
        <v>0.98963290452957198</v>
      </c>
      <c r="R54" s="34">
        <v>0.98125523328781095</v>
      </c>
      <c r="S54" s="34">
        <v>0.9737908244133</v>
      </c>
      <c r="T54" s="34">
        <v>0.97559450219249</v>
      </c>
      <c r="U54" s="34">
        <v>0.99231016047106202</v>
      </c>
      <c r="V54" s="34">
        <v>0.99029567498575299</v>
      </c>
      <c r="W54" s="34"/>
    </row>
    <row r="55" spans="1:23">
      <c r="A55" s="1" t="s">
        <v>1048</v>
      </c>
      <c r="B55" s="34">
        <v>0.71710220287736304</v>
      </c>
      <c r="C55" s="34">
        <v>0.71183755235840496</v>
      </c>
      <c r="D55" s="34">
        <v>0.71050487664945505</v>
      </c>
      <c r="E55" s="34">
        <v>0.73653066250718302</v>
      </c>
      <c r="F55" s="34">
        <v>0.73363669784731</v>
      </c>
      <c r="G55" s="34">
        <v>0.72289123082844098</v>
      </c>
      <c r="H55" s="34">
        <v>0.70983340751573698</v>
      </c>
      <c r="I55" s="34">
        <v>0.69423570373996302</v>
      </c>
      <c r="J55" s="34">
        <v>0.69381614475031805</v>
      </c>
      <c r="K55" s="34">
        <v>0.68208099904866903</v>
      </c>
      <c r="L55" s="34">
        <v>0.70014001256328995</v>
      </c>
      <c r="M55" s="34">
        <v>0.69862097754056895</v>
      </c>
      <c r="N55" s="34">
        <v>0.70685322124299099</v>
      </c>
      <c r="O55" s="34">
        <v>0.68731675996998898</v>
      </c>
      <c r="P55" s="34">
        <v>0.67971024876762598</v>
      </c>
      <c r="Q55" s="34">
        <v>0.66313852347063496</v>
      </c>
      <c r="R55" s="34">
        <v>0.62232622084586098</v>
      </c>
      <c r="S55" s="34">
        <v>0.61518478843063695</v>
      </c>
      <c r="T55" s="34">
        <v>0.61244303076338802</v>
      </c>
      <c r="U55" s="34">
        <v>0.61621143576312098</v>
      </c>
      <c r="V55" s="34">
        <v>0.61210416235107001</v>
      </c>
      <c r="W55" s="34"/>
    </row>
    <row r="56" spans="1:23">
      <c r="A56" s="1" t="s">
        <v>1049</v>
      </c>
      <c r="B56" s="34">
        <v>14.332421</v>
      </c>
      <c r="C56" s="34">
        <v>14.326301000000001</v>
      </c>
      <c r="D56" s="34">
        <v>14.458321</v>
      </c>
      <c r="E56" s="34">
        <v>14.176016000000001</v>
      </c>
      <c r="F56" s="34">
        <v>14.426129</v>
      </c>
      <c r="G56" s="34">
        <v>14.562493</v>
      </c>
      <c r="H56" s="34">
        <v>14.414552</v>
      </c>
      <c r="I56" s="34">
        <v>14.258779000000001</v>
      </c>
      <c r="J56" s="34">
        <v>13.916713</v>
      </c>
      <c r="K56" s="34">
        <v>13.638434999999999</v>
      </c>
      <c r="L56" s="34">
        <v>13.672003999999999</v>
      </c>
      <c r="M56" s="34">
        <v>13.345305</v>
      </c>
      <c r="N56" s="34">
        <v>13.297699</v>
      </c>
      <c r="O56" s="34">
        <v>12.785271</v>
      </c>
      <c r="P56" s="34">
        <v>12.70321</v>
      </c>
      <c r="Q56" s="34">
        <v>12.93798</v>
      </c>
      <c r="R56" s="34">
        <v>12.576343</v>
      </c>
      <c r="S56" s="34">
        <v>12.424986000000001</v>
      </c>
      <c r="T56" s="34">
        <v>12.371528</v>
      </c>
      <c r="U56" s="34">
        <v>12.663206000000001</v>
      </c>
      <c r="V56" s="34">
        <v>12.793018999999999</v>
      </c>
      <c r="W56" s="34">
        <v>12.737902999999999</v>
      </c>
    </row>
    <row r="57" spans="1:23">
      <c r="A57" s="1" t="s">
        <v>1071</v>
      </c>
      <c r="B57" s="34">
        <v>0.94321100000000002</v>
      </c>
      <c r="C57" s="34">
        <v>0.92996699999999999</v>
      </c>
      <c r="D57" s="34">
        <v>0.91325699999999999</v>
      </c>
      <c r="E57" s="34">
        <v>0.89593699999999998</v>
      </c>
      <c r="F57" s="34">
        <v>0.87506300000000004</v>
      </c>
      <c r="G57" s="34">
        <v>0.87272099999999997</v>
      </c>
      <c r="H57" s="34">
        <v>0.84757400000000005</v>
      </c>
      <c r="I57" s="34">
        <v>0.83730300000000002</v>
      </c>
      <c r="J57" s="34">
        <v>0.82040100000000005</v>
      </c>
      <c r="K57" s="34">
        <v>0.81110599999999999</v>
      </c>
      <c r="L57" s="34">
        <v>0.80503999999999998</v>
      </c>
      <c r="M57" s="34">
        <v>0.78873899999999997</v>
      </c>
      <c r="N57" s="34">
        <v>0.787246</v>
      </c>
      <c r="O57" s="34">
        <v>0.77478400000000003</v>
      </c>
      <c r="P57" s="34">
        <v>0.76893699999999998</v>
      </c>
      <c r="Q57" s="34">
        <v>0.77812199999999998</v>
      </c>
      <c r="R57" s="34">
        <v>0.75260800000000005</v>
      </c>
      <c r="S57" s="34">
        <v>0.74478299999999997</v>
      </c>
      <c r="T57" s="34">
        <v>0.73544799999999999</v>
      </c>
      <c r="U57" s="34">
        <v>0.75109800000000004</v>
      </c>
      <c r="V57" s="34">
        <v>0.73835099999999998</v>
      </c>
      <c r="W57" s="34">
        <v>0.73145700000000002</v>
      </c>
    </row>
    <row r="58" spans="1:23">
      <c r="A58" s="1" t="s">
        <v>1051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>
        <v>93.571823120117202</v>
      </c>
      <c r="N58" s="34">
        <v>98.269592285156307</v>
      </c>
      <c r="O58" s="34">
        <v>100.15228271484401</v>
      </c>
      <c r="P58" s="34">
        <v>102.11085510253901</v>
      </c>
      <c r="Q58" s="34">
        <v>103.302284240723</v>
      </c>
      <c r="R58" s="34">
        <v>106.126457214355</v>
      </c>
      <c r="S58" s="34">
        <v>106.022705078125</v>
      </c>
      <c r="T58" s="34">
        <v>104.579041408436</v>
      </c>
      <c r="U58" s="34">
        <v>105.20369006035899</v>
      </c>
      <c r="V58" s="34">
        <v>105.293226569707</v>
      </c>
      <c r="W58" s="34"/>
    </row>
    <row r="59" spans="1:23">
      <c r="A59" s="1" t="s">
        <v>1053</v>
      </c>
      <c r="B59" s="34">
        <v>1.98380689835713</v>
      </c>
      <c r="C59" s="34">
        <v>1.98168940788306</v>
      </c>
      <c r="D59" s="34">
        <v>1.96625492575265</v>
      </c>
      <c r="E59" s="34">
        <v>1.8701908427201299</v>
      </c>
      <c r="F59" s="34">
        <v>1.89021987266962</v>
      </c>
      <c r="G59" s="34">
        <v>1.8065715208083699</v>
      </c>
      <c r="H59" s="34">
        <v>1.7950137340463399</v>
      </c>
      <c r="I59" s="34">
        <v>1.77471477770487</v>
      </c>
      <c r="J59" s="34">
        <v>1.7671115402267401</v>
      </c>
      <c r="K59" s="34">
        <v>1.8941098795284901</v>
      </c>
      <c r="L59" s="34">
        <v>1.87785311912683</v>
      </c>
      <c r="M59" s="34">
        <v>1.8704295158386199</v>
      </c>
      <c r="N59" s="34">
        <v>1.8592386245727499</v>
      </c>
      <c r="O59" s="34">
        <v>1.86717689037323</v>
      </c>
      <c r="P59" s="34">
        <v>1.81103038787842</v>
      </c>
      <c r="Q59" s="34">
        <v>1.8411551713943499</v>
      </c>
      <c r="R59" s="34">
        <v>1.8258967399597199</v>
      </c>
      <c r="S59" s="34">
        <v>1.7375373840332</v>
      </c>
      <c r="T59" s="34">
        <v>1.75834817466114</v>
      </c>
      <c r="U59" s="34">
        <v>1.7835803965477699</v>
      </c>
      <c r="V59" s="34">
        <v>1.74237735920666</v>
      </c>
      <c r="W59" s="34"/>
    </row>
    <row r="60" spans="1:23">
      <c r="A60" s="1" t="s">
        <v>1050</v>
      </c>
      <c r="B60" s="34">
        <v>8.6712989999999994</v>
      </c>
      <c r="C60" s="34">
        <v>8.6944040000000005</v>
      </c>
      <c r="D60" s="34">
        <v>8.5616059999999994</v>
      </c>
      <c r="E60" s="34">
        <v>8.6478560000000009</v>
      </c>
      <c r="F60" s="34">
        <v>8.4598270000000007</v>
      </c>
      <c r="G60" s="34">
        <v>8.5694379999999999</v>
      </c>
      <c r="H60" s="34">
        <v>8.2871089999999992</v>
      </c>
      <c r="I60" s="34">
        <v>8.162445</v>
      </c>
      <c r="J60" s="34">
        <v>7.9441280000000001</v>
      </c>
      <c r="K60" s="34">
        <v>7.731134</v>
      </c>
      <c r="L60" s="34">
        <v>7.5908369999999996</v>
      </c>
      <c r="M60" s="34">
        <v>7.4664919999999997</v>
      </c>
      <c r="N60" s="34">
        <v>7.5641360000000004</v>
      </c>
      <c r="O60" s="34">
        <v>7.3548460000000002</v>
      </c>
      <c r="P60" s="34">
        <v>7.3286740000000004</v>
      </c>
      <c r="Q60" s="34">
        <v>7.3053569999999999</v>
      </c>
      <c r="R60" s="34">
        <v>7.0798560000000004</v>
      </c>
      <c r="S60" s="34">
        <v>6.8716790000000003</v>
      </c>
      <c r="T60" s="34">
        <v>6.7659969999999996</v>
      </c>
      <c r="U60" s="34">
        <v>6.7915580000000002</v>
      </c>
      <c r="V60" s="34">
        <v>6.632676</v>
      </c>
      <c r="W60" s="34">
        <v>6.4945009999999996</v>
      </c>
    </row>
    <row r="61" spans="1:23">
      <c r="A61" s="1" t="s">
        <v>1032</v>
      </c>
      <c r="B61" s="34">
        <v>6.99363378452089</v>
      </c>
      <c r="C61" s="34">
        <v>7.25692568923147</v>
      </c>
      <c r="D61" s="34">
        <v>7.6383331566849897</v>
      </c>
      <c r="E61" s="34">
        <v>10.0083721136234</v>
      </c>
      <c r="F61" s="34">
        <v>14.147893196717</v>
      </c>
      <c r="G61" s="34">
        <v>14.513724385699801</v>
      </c>
      <c r="H61" s="34">
        <v>15.0229899293043</v>
      </c>
      <c r="I61" s="34">
        <v>15.4640223691581</v>
      </c>
      <c r="J61" s="34">
        <v>16.745277548435499</v>
      </c>
      <c r="K61" s="34">
        <v>17.199928248944499</v>
      </c>
      <c r="L61" s="34">
        <v>17.927293547961899</v>
      </c>
      <c r="M61" s="34">
        <v>18.975978851318398</v>
      </c>
      <c r="N61" s="34">
        <v>20.189214706420898</v>
      </c>
      <c r="O61" s="34">
        <v>20.887376785278299</v>
      </c>
      <c r="P61" s="34">
        <v>21.358970642089801</v>
      </c>
      <c r="Q61" s="34">
        <v>21.151008605956999</v>
      </c>
      <c r="R61" s="34">
        <v>20.818893432617202</v>
      </c>
      <c r="S61" s="34">
        <v>21.613275527954102</v>
      </c>
      <c r="T61" s="34">
        <v>21.9764148790494</v>
      </c>
      <c r="U61" s="34">
        <v>22.136289009670602</v>
      </c>
      <c r="V61" s="34">
        <v>22.905835987020598</v>
      </c>
      <c r="W61" s="34"/>
    </row>
    <row r="62" spans="1:23">
      <c r="A62" s="1" t="s">
        <v>586</v>
      </c>
      <c r="B62" s="34">
        <v>15.726538820643899</v>
      </c>
      <c r="C62" s="34">
        <v>15.316140959862899</v>
      </c>
      <c r="D62" s="34">
        <v>15.276737764070299</v>
      </c>
      <c r="E62" s="34">
        <v>16.247667443168201</v>
      </c>
      <c r="F62" s="34">
        <v>17.759498576210401</v>
      </c>
      <c r="G62" s="34">
        <v>20.000282679164599</v>
      </c>
      <c r="H62" s="34">
        <v>21.4602230822872</v>
      </c>
      <c r="I62" s="34">
        <v>22.235372598632701</v>
      </c>
      <c r="J62" s="34">
        <v>25.150526468602202</v>
      </c>
      <c r="K62" s="34">
        <v>22.174275831887201</v>
      </c>
      <c r="L62" s="34">
        <v>25.452183157556401</v>
      </c>
      <c r="M62" s="34">
        <v>29.475887298583999</v>
      </c>
      <c r="N62" s="34">
        <v>32.593227386474602</v>
      </c>
      <c r="O62" s="34">
        <v>33.430347442627003</v>
      </c>
      <c r="P62" s="34">
        <v>34.039524078369098</v>
      </c>
      <c r="Q62" s="34">
        <v>35.010829925537102</v>
      </c>
      <c r="R62" s="34">
        <v>37.155826568603501</v>
      </c>
      <c r="S62" s="34">
        <v>38.855751037597699</v>
      </c>
      <c r="T62" s="34">
        <v>40.5488269456797</v>
      </c>
      <c r="U62" s="34">
        <v>39.651214077286703</v>
      </c>
      <c r="V62" s="34">
        <v>37.020855854737803</v>
      </c>
      <c r="W62" s="34"/>
    </row>
    <row r="63" spans="1:23">
      <c r="A63" s="1" t="s">
        <v>1220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 spans="1:23">
      <c r="A64" s="1" t="s">
        <v>1218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</row>
    <row r="65" spans="1:23">
      <c r="A65" s="1" t="s">
        <v>1219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</row>
    <row r="66" spans="1:23">
      <c r="A66" s="1" t="s">
        <v>1223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</row>
    <row r="67" spans="1:23">
      <c r="A67" s="1" t="s">
        <v>1222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</row>
    <row r="68" spans="1:23">
      <c r="A68" s="1" t="s">
        <v>559</v>
      </c>
      <c r="B68" s="34">
        <v>0.247402089452501</v>
      </c>
      <c r="C68" s="34">
        <v>0.31088067259201302</v>
      </c>
      <c r="D68" s="34">
        <v>0.34302560290938799</v>
      </c>
      <c r="E68" s="34">
        <v>0.37244592813528299</v>
      </c>
      <c r="F68" s="34">
        <v>0.37813870289743101</v>
      </c>
      <c r="G68" s="34">
        <v>0.39507278648267502</v>
      </c>
      <c r="H68" s="34">
        <v>0.41414920533610899</v>
      </c>
      <c r="I68" s="34">
        <v>0.43013751432323699</v>
      </c>
      <c r="J68" s="34">
        <v>0.48035646180990998</v>
      </c>
      <c r="K68" s="34">
        <v>0.47984726327902499</v>
      </c>
      <c r="L68" s="34">
        <v>0.50972862958764398</v>
      </c>
      <c r="M68" s="34">
        <v>0.52757233381271396</v>
      </c>
      <c r="N68" s="34">
        <v>0.551044821739197</v>
      </c>
      <c r="O68" s="34">
        <v>0.54298925399780296</v>
      </c>
      <c r="P68" s="34">
        <v>0.54443764686584495</v>
      </c>
      <c r="Q68" s="34">
        <v>0.55373710393905595</v>
      </c>
      <c r="R68" s="34">
        <v>0.54920655488967896</v>
      </c>
      <c r="S68" s="34">
        <v>0.53482097387313798</v>
      </c>
      <c r="T68" s="34">
        <v>0.53178073617551402</v>
      </c>
      <c r="U68" s="34">
        <v>0.525042637268051</v>
      </c>
      <c r="V68" s="34">
        <v>0.51399657785294495</v>
      </c>
      <c r="W68" s="34"/>
    </row>
    <row r="69" spans="1:23">
      <c r="A69" s="1" t="s">
        <v>398</v>
      </c>
      <c r="B69" s="34">
        <v>0.85276846824521901</v>
      </c>
      <c r="C69" s="34">
        <v>0.85005040264430798</v>
      </c>
      <c r="D69" s="34">
        <v>0.86330399698276905</v>
      </c>
      <c r="E69" s="34">
        <v>0.90500751895648002</v>
      </c>
      <c r="F69" s="34">
        <v>0.98412629931760998</v>
      </c>
      <c r="G69" s="34">
        <v>1.0136914985600101</v>
      </c>
      <c r="H69" s="34">
        <v>1.05633219321927</v>
      </c>
      <c r="I69" s="34">
        <v>1.1582706673013301</v>
      </c>
      <c r="J69" s="34">
        <v>1.2748287415941399</v>
      </c>
      <c r="K69" s="34">
        <v>1.4067012623970601</v>
      </c>
      <c r="L69" s="34">
        <v>1.5310342695631101</v>
      </c>
      <c r="M69" s="34">
        <v>1.6746172904968299</v>
      </c>
      <c r="N69" s="34">
        <v>1.7469180822372401</v>
      </c>
      <c r="O69" s="34">
        <v>1.87536120414734</v>
      </c>
      <c r="P69" s="34">
        <v>2.1618614196777299</v>
      </c>
      <c r="Q69" s="34">
        <v>2.2963895797729501</v>
      </c>
      <c r="R69" s="34">
        <v>2.56308174133301</v>
      </c>
      <c r="S69" s="34">
        <v>3.2666029930114702</v>
      </c>
      <c r="T69" s="34">
        <v>3.87351047522192</v>
      </c>
      <c r="U69" s="34">
        <v>4.32399224303441</v>
      </c>
      <c r="V69" s="34">
        <v>4.5383015566518603</v>
      </c>
      <c r="W69" s="34"/>
    </row>
    <row r="70" spans="1:23">
      <c r="A70" s="1" t="s">
        <v>579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</row>
    <row r="71" spans="1:23">
      <c r="A71" s="1" t="s">
        <v>1036</v>
      </c>
      <c r="B71" s="34">
        <v>1.94022193762567</v>
      </c>
      <c r="C71" s="34">
        <v>2.18483177567308</v>
      </c>
      <c r="D71" s="34">
        <v>2.4981383630770302</v>
      </c>
      <c r="E71" s="34">
        <v>2.9890428429434999</v>
      </c>
      <c r="F71" s="34">
        <v>3.6325092617772099</v>
      </c>
      <c r="G71" s="34">
        <v>3.79134235524986</v>
      </c>
      <c r="H71" s="34">
        <v>4.09927558507977</v>
      </c>
      <c r="I71" s="34">
        <v>4.2829863674345603</v>
      </c>
      <c r="J71" s="34">
        <v>4.8766710086818197</v>
      </c>
      <c r="K71" s="34">
        <v>6.2677267406570696</v>
      </c>
      <c r="L71" s="34">
        <v>5.1901097465524701</v>
      </c>
      <c r="M71" s="34">
        <v>6.0772179935858004</v>
      </c>
      <c r="N71" s="34">
        <v>6.3905752561910596</v>
      </c>
      <c r="O71" s="34">
        <v>6.0902025465409899</v>
      </c>
      <c r="P71" s="34">
        <v>6.0717868835414901</v>
      </c>
      <c r="Q71" s="34">
        <v>5.8266489989236803</v>
      </c>
      <c r="R71" s="34">
        <v>5.8093845672523603</v>
      </c>
      <c r="S71" s="34">
        <v>5.4699043486879804</v>
      </c>
      <c r="T71" s="34"/>
      <c r="U71" s="34"/>
      <c r="V71" s="34"/>
      <c r="W71" s="34"/>
    </row>
    <row r="72" spans="1:23">
      <c r="A72" s="1" t="s">
        <v>1149</v>
      </c>
      <c r="B72" s="34">
        <v>0.73987099999999995</v>
      </c>
      <c r="C72" s="34">
        <v>0.74773900000000004</v>
      </c>
      <c r="D72" s="34">
        <v>0.74231199999999997</v>
      </c>
      <c r="E72" s="34">
        <v>0.75926400000000005</v>
      </c>
      <c r="F72" s="34">
        <v>0.76589499999999999</v>
      </c>
      <c r="G72" s="34">
        <v>0.76950799999999997</v>
      </c>
      <c r="H72" s="34">
        <v>0.73599700000000001</v>
      </c>
      <c r="I72" s="34">
        <v>0.73241000000000001</v>
      </c>
      <c r="J72" s="34">
        <v>0.72586200000000001</v>
      </c>
      <c r="K72" s="34">
        <v>0.71868100000000001</v>
      </c>
      <c r="L72" s="34">
        <v>0.72692400000000001</v>
      </c>
      <c r="M72" s="34">
        <v>0.71412900000000001</v>
      </c>
      <c r="N72" s="34">
        <v>0.69497600000000004</v>
      </c>
      <c r="O72" s="34">
        <v>0.67479999999999996</v>
      </c>
      <c r="P72" s="34">
        <v>0.66235900000000003</v>
      </c>
      <c r="Q72" s="34">
        <v>0.66474</v>
      </c>
      <c r="R72" s="34">
        <v>0.64264399999999999</v>
      </c>
      <c r="S72" s="34">
        <v>0.63083900000000004</v>
      </c>
      <c r="T72" s="34">
        <v>0.63179799999999997</v>
      </c>
      <c r="U72" s="34">
        <v>0.63317500000000004</v>
      </c>
      <c r="V72" s="34">
        <v>0.62739299999999998</v>
      </c>
      <c r="W72" s="34">
        <v>0.61468599999999995</v>
      </c>
    </row>
    <row r="73" spans="1:23">
      <c r="A73" s="1" t="s">
        <v>1061</v>
      </c>
      <c r="B73" s="34">
        <v>0.46892</v>
      </c>
      <c r="C73" s="34">
        <v>0.48801299999999997</v>
      </c>
      <c r="D73" s="34">
        <v>0.48624499999999998</v>
      </c>
      <c r="E73" s="34">
        <v>0.48577199999999998</v>
      </c>
      <c r="F73" s="34">
        <v>0.493649</v>
      </c>
      <c r="G73" s="34">
        <v>0.503328</v>
      </c>
      <c r="H73" s="34">
        <v>0.520791</v>
      </c>
      <c r="I73" s="34">
        <v>0.55118199999999995</v>
      </c>
      <c r="J73" s="34">
        <v>0.54505499999999996</v>
      </c>
      <c r="K73" s="34">
        <v>0.51712000000000002</v>
      </c>
      <c r="L73" s="34">
        <v>0.51209700000000002</v>
      </c>
      <c r="M73" s="34">
        <v>0.51160000000000005</v>
      </c>
      <c r="N73" s="34">
        <v>0.52106300000000005</v>
      </c>
      <c r="O73" s="34">
        <v>0.522424</v>
      </c>
      <c r="P73" s="34">
        <v>0.52688999999999997</v>
      </c>
      <c r="Q73" s="34">
        <v>0.53757999999999995</v>
      </c>
      <c r="R73" s="34">
        <v>0.52784900000000001</v>
      </c>
      <c r="S73" s="34">
        <v>0.53490800000000005</v>
      </c>
      <c r="T73" s="34">
        <v>0.53875700000000004</v>
      </c>
      <c r="U73" s="34">
        <v>0.55218100000000003</v>
      </c>
      <c r="V73" s="34">
        <v>0.53617000000000004</v>
      </c>
      <c r="W73" s="34">
        <v>0.53744000000000003</v>
      </c>
    </row>
    <row r="74" spans="1:23">
      <c r="A74" s="1" t="s">
        <v>428</v>
      </c>
      <c r="B74" s="34">
        <v>2.1001278984340002</v>
      </c>
      <c r="C74" s="34">
        <v>1.9367767433379299</v>
      </c>
      <c r="D74" s="34">
        <v>1.83757161963805</v>
      </c>
      <c r="E74" s="34">
        <v>2.0344114091268102</v>
      </c>
      <c r="F74" s="34">
        <v>2.0585637113239299</v>
      </c>
      <c r="G74" s="34">
        <v>2.1935302142786401</v>
      </c>
      <c r="H74" s="34">
        <v>2.3750603122943201</v>
      </c>
      <c r="I74" s="34">
        <v>2.7112283069001899</v>
      </c>
      <c r="J74" s="34">
        <v>3.4656357873563701</v>
      </c>
      <c r="K74" s="34">
        <v>4.2699109315507204</v>
      </c>
      <c r="L74" s="34">
        <v>4.2817003462833503</v>
      </c>
      <c r="M74" s="34">
        <v>5.0355029106140101</v>
      </c>
      <c r="N74" s="34">
        <v>6.6409487724304199</v>
      </c>
      <c r="O74" s="34">
        <v>7.0806994438171396</v>
      </c>
      <c r="P74" s="34">
        <v>7.1442236900329599</v>
      </c>
      <c r="Q74" s="34">
        <v>7.76668500900269</v>
      </c>
      <c r="R74" s="34">
        <v>8.0559206008911097</v>
      </c>
      <c r="S74" s="34">
        <v>8.5208549499511701</v>
      </c>
      <c r="T74" s="34">
        <v>9.3514068187673001</v>
      </c>
      <c r="U74" s="34">
        <v>10.3689336650445</v>
      </c>
      <c r="V74" s="34">
        <v>12.1146250288367</v>
      </c>
      <c r="W74" s="34"/>
    </row>
    <row r="75" spans="1:23">
      <c r="A75" s="1" t="s">
        <v>1225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</row>
    <row r="76" spans="1:23">
      <c r="A76" s="1" t="s">
        <v>1226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</row>
    <row r="77" spans="1:23">
      <c r="A77" s="1" t="s">
        <v>1065</v>
      </c>
      <c r="B77" s="34">
        <v>0.98412299999999997</v>
      </c>
      <c r="C77" s="34">
        <v>1.002939</v>
      </c>
      <c r="D77" s="34">
        <v>0.99813300000000005</v>
      </c>
      <c r="E77" s="34">
        <v>1.0020020000000001</v>
      </c>
      <c r="F77" s="34">
        <v>0.97321100000000005</v>
      </c>
      <c r="G77" s="34">
        <v>0.97942399999999996</v>
      </c>
      <c r="H77" s="34">
        <v>0.95286400000000004</v>
      </c>
      <c r="I77" s="34">
        <v>0.93481599999999998</v>
      </c>
      <c r="J77" s="34">
        <v>0.91212499999999996</v>
      </c>
      <c r="K77" s="34">
        <v>0.89650200000000002</v>
      </c>
      <c r="L77" s="34">
        <v>0.90047600000000005</v>
      </c>
      <c r="M77" s="34">
        <v>0.89806799999999998</v>
      </c>
      <c r="N77" s="34">
        <v>0.90849500000000005</v>
      </c>
      <c r="O77" s="34">
        <v>0.90535699999999997</v>
      </c>
      <c r="P77" s="34">
        <v>0.90720999999999996</v>
      </c>
      <c r="Q77" s="34">
        <v>0.907748</v>
      </c>
      <c r="R77" s="34">
        <v>0.88089499999999998</v>
      </c>
      <c r="S77" s="34">
        <v>0.86365700000000001</v>
      </c>
      <c r="T77" s="34">
        <v>0.853746</v>
      </c>
      <c r="U77" s="34">
        <v>0.86322500000000002</v>
      </c>
      <c r="V77" s="34">
        <v>0.84497500000000003</v>
      </c>
      <c r="W77" s="34">
        <v>0.81845999999999997</v>
      </c>
    </row>
    <row r="78" spans="1:23">
      <c r="A78" s="1" t="s">
        <v>1064</v>
      </c>
      <c r="B78" s="34">
        <v>0.75466388451134603</v>
      </c>
      <c r="C78" s="34">
        <v>0.76243233357472995</v>
      </c>
      <c r="D78" s="34">
        <v>0.77507690558098796</v>
      </c>
      <c r="E78" s="34">
        <v>0.81955937170080495</v>
      </c>
      <c r="F78" s="34">
        <v>0.81558334112365405</v>
      </c>
      <c r="G78" s="34">
        <v>0.84350565608736305</v>
      </c>
      <c r="H78" s="34">
        <v>0.84940504378527204</v>
      </c>
      <c r="I78" s="34">
        <v>0.85220239585994595</v>
      </c>
      <c r="J78" s="34">
        <v>0.853982845059582</v>
      </c>
      <c r="K78" s="34">
        <v>0.85930820595560597</v>
      </c>
      <c r="L78" s="34">
        <v>0.88533868174480901</v>
      </c>
      <c r="M78" s="34">
        <v>0.94866710901260398</v>
      </c>
      <c r="N78" s="34">
        <v>0.92974138259887695</v>
      </c>
      <c r="O78" s="34">
        <v>0.93471163511276201</v>
      </c>
      <c r="P78" s="34">
        <v>0.932411849498749</v>
      </c>
      <c r="Q78" s="34">
        <v>0.91099280118942305</v>
      </c>
      <c r="R78" s="34">
        <v>0.937128186225891</v>
      </c>
      <c r="S78" s="34">
        <v>0.93900692462921098</v>
      </c>
      <c r="T78" s="34">
        <v>0.93006385970225602</v>
      </c>
      <c r="U78" s="34">
        <v>0.93545499501919405</v>
      </c>
      <c r="V78" s="34">
        <v>0.90811610719169999</v>
      </c>
      <c r="W78" s="34"/>
    </row>
    <row r="79" spans="1:23">
      <c r="A79" s="1" t="s">
        <v>1067</v>
      </c>
      <c r="B79" s="34">
        <v>0.930369</v>
      </c>
      <c r="C79" s="34">
        <v>0.91194799999999998</v>
      </c>
      <c r="D79" s="34">
        <v>0.90067799999999998</v>
      </c>
      <c r="E79" s="34">
        <v>0.92989299999999997</v>
      </c>
      <c r="F79" s="34">
        <v>0.93512700000000004</v>
      </c>
      <c r="G79" s="34">
        <v>0.91645799999999999</v>
      </c>
      <c r="H79" s="34">
        <v>0.89468800000000004</v>
      </c>
      <c r="I79" s="34">
        <v>0.88877099999999998</v>
      </c>
      <c r="J79" s="34">
        <v>0.88187400000000005</v>
      </c>
      <c r="K79" s="34">
        <v>0.86296600000000001</v>
      </c>
      <c r="L79" s="34">
        <v>0.85463199999999995</v>
      </c>
      <c r="M79" s="34">
        <v>0.84136100000000003</v>
      </c>
      <c r="N79" s="34">
        <v>0.84430099999999997</v>
      </c>
      <c r="O79" s="34">
        <v>0.811643</v>
      </c>
      <c r="P79" s="34">
        <v>0.80756499999999998</v>
      </c>
      <c r="Q79" s="34">
        <v>0.80869400000000002</v>
      </c>
      <c r="R79" s="34">
        <v>0.78004399999999996</v>
      </c>
      <c r="S79" s="34">
        <v>0.77010900000000004</v>
      </c>
      <c r="T79" s="34">
        <v>0.756166</v>
      </c>
      <c r="U79" s="34">
        <v>0.73866299999999996</v>
      </c>
      <c r="V79" s="34">
        <v>0.72731199999999996</v>
      </c>
      <c r="W79" s="34">
        <v>0.71355100000000005</v>
      </c>
    </row>
    <row r="80" spans="1:23">
      <c r="A80" s="1" t="s">
        <v>1175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</row>
    <row r="81" spans="1:23">
      <c r="A81" s="1" t="s">
        <v>1127</v>
      </c>
      <c r="B81" s="34">
        <v>0.87247785634290198</v>
      </c>
      <c r="C81" s="34">
        <v>0.86321825156174004</v>
      </c>
      <c r="D81" s="34">
        <v>0.85057714090062797</v>
      </c>
      <c r="E81" s="34">
        <v>0.832028414099789</v>
      </c>
      <c r="F81" s="34">
        <v>0.81826361104049805</v>
      </c>
      <c r="G81" s="34">
        <v>0.81018573675716599</v>
      </c>
      <c r="H81" s="34">
        <v>0.79727721111009198</v>
      </c>
      <c r="I81" s="34">
        <v>0.80106754815819603</v>
      </c>
      <c r="J81" s="34">
        <v>0.82511130344885597</v>
      </c>
      <c r="K81" s="34">
        <v>0.86277328092126504</v>
      </c>
      <c r="L81" s="34">
        <v>0.883563144787604</v>
      </c>
      <c r="M81" s="34">
        <v>0.87929396015344896</v>
      </c>
      <c r="N81" s="34">
        <v>0.92419697881844998</v>
      </c>
      <c r="O81" s="34">
        <v>0.91404291856148601</v>
      </c>
      <c r="P81" s="34">
        <v>0.92457948441036197</v>
      </c>
      <c r="Q81" s="34">
        <v>0.86776996172482201</v>
      </c>
      <c r="R81" s="34">
        <v>0.89352064043552204</v>
      </c>
      <c r="S81" s="34">
        <v>0.942555623445824</v>
      </c>
      <c r="T81" s="34">
        <v>1.0068527545828001</v>
      </c>
      <c r="U81" s="34">
        <v>0.99260672729453003</v>
      </c>
      <c r="V81" s="34">
        <v>1.00337073060386</v>
      </c>
      <c r="W81" s="34"/>
    </row>
    <row r="82" spans="1:23">
      <c r="A82" s="1" t="s">
        <v>1038</v>
      </c>
      <c r="B82" s="34">
        <v>225.81327419405699</v>
      </c>
      <c r="C82" s="34">
        <v>207.15039887108301</v>
      </c>
      <c r="D82" s="34">
        <v>205.66999625679199</v>
      </c>
      <c r="E82" s="34">
        <v>201.48173707556899</v>
      </c>
      <c r="F82" s="34">
        <v>211.43507444239401</v>
      </c>
      <c r="G82" s="34">
        <v>246.25125358605399</v>
      </c>
      <c r="H82" s="34">
        <v>262.60470943278898</v>
      </c>
      <c r="I82" s="34">
        <v>266.55602606998599</v>
      </c>
      <c r="J82" s="34">
        <v>315.016440809176</v>
      </c>
      <c r="K82" s="34">
        <v>256.12610628822802</v>
      </c>
      <c r="L82" s="34">
        <v>295.112850589863</v>
      </c>
      <c r="M82" s="34">
        <v>325.73254394531301</v>
      </c>
      <c r="N82" s="34">
        <v>326.27444458007801</v>
      </c>
      <c r="O82" s="34">
        <v>316.43493652343801</v>
      </c>
      <c r="P82" s="34">
        <v>310.41546630859398</v>
      </c>
      <c r="Q82" s="34">
        <v>297.01083374023398</v>
      </c>
      <c r="R82" s="34">
        <v>289.72079467773398</v>
      </c>
      <c r="S82" s="34">
        <v>279.76571655273398</v>
      </c>
      <c r="T82" s="34">
        <v>292.81315525905899</v>
      </c>
      <c r="U82" s="34">
        <v>292.12944226455397</v>
      </c>
      <c r="V82" s="34">
        <v>262.20858293764201</v>
      </c>
      <c r="W82" s="34"/>
    </row>
    <row r="83" spans="1:23">
      <c r="A83" s="1" t="s">
        <v>1160</v>
      </c>
      <c r="B83" s="34">
        <v>0.70461200000000002</v>
      </c>
      <c r="C83" s="34">
        <v>0.69468200000000002</v>
      </c>
      <c r="D83" s="34">
        <v>0.68987699999999996</v>
      </c>
      <c r="E83" s="34">
        <v>0.695878</v>
      </c>
      <c r="F83" s="34">
        <v>0.68783899999999998</v>
      </c>
      <c r="G83" s="34">
        <v>0.707619</v>
      </c>
      <c r="H83" s="34">
        <v>0.69648699999999997</v>
      </c>
      <c r="I83" s="34">
        <v>0.70923899999999995</v>
      </c>
      <c r="J83" s="34">
        <v>0.70169099999999995</v>
      </c>
      <c r="K83" s="34">
        <v>0.71007399999999998</v>
      </c>
      <c r="L83" s="34">
        <v>0.70224299999999995</v>
      </c>
      <c r="M83" s="34">
        <v>0.70605200000000001</v>
      </c>
      <c r="N83" s="34">
        <v>0.70163399999999998</v>
      </c>
      <c r="O83" s="34">
        <v>0.69524799999999998</v>
      </c>
      <c r="P83" s="34">
        <v>0.69844399999999995</v>
      </c>
      <c r="Q83" s="34">
        <v>0.69255100000000003</v>
      </c>
      <c r="R83" s="34">
        <v>0.68860299999999997</v>
      </c>
      <c r="S83" s="34">
        <v>0.68460100000000002</v>
      </c>
      <c r="T83" s="34">
        <v>0.68771400000000005</v>
      </c>
      <c r="U83" s="34">
        <v>0.68805799999999995</v>
      </c>
      <c r="V83" s="34">
        <v>0.68898800000000004</v>
      </c>
      <c r="W83" s="34">
        <v>0.66786500000000004</v>
      </c>
    </row>
    <row r="84" spans="1:23">
      <c r="A84" s="1" t="s">
        <v>494</v>
      </c>
      <c r="B84" s="34">
        <v>0.47743170836996102</v>
      </c>
      <c r="C84" s="34">
        <v>0.49230114252329099</v>
      </c>
      <c r="D84" s="34">
        <v>0.51332220388645899</v>
      </c>
      <c r="E84" s="34">
        <v>0.52122101513310504</v>
      </c>
      <c r="F84" s="34">
        <v>0.55035284924899297</v>
      </c>
      <c r="G84" s="34">
        <v>0.57608759703603896</v>
      </c>
      <c r="H84" s="34">
        <v>0.60641003090845402</v>
      </c>
      <c r="I84" s="34">
        <v>0.64643690017535005</v>
      </c>
      <c r="J84" s="34">
        <v>0.69494862513856204</v>
      </c>
      <c r="K84" s="34">
        <v>0.67495889933030995</v>
      </c>
      <c r="L84" s="34">
        <v>0.76185289659613697</v>
      </c>
      <c r="M84" s="34">
        <v>0.81129533052444502</v>
      </c>
      <c r="N84" s="34">
        <v>0.74310088157653797</v>
      </c>
      <c r="O84" s="34">
        <v>0.72477406263351396</v>
      </c>
      <c r="P84" s="34">
        <v>0.72290188074111905</v>
      </c>
      <c r="Q84" s="34">
        <v>0.75351679325103804</v>
      </c>
      <c r="R84" s="34">
        <v>0.74767273664474498</v>
      </c>
      <c r="S84" s="34">
        <v>0.80457169037939902</v>
      </c>
      <c r="T84" s="34">
        <v>0.81997255299194505</v>
      </c>
      <c r="U84" s="34">
        <v>0.84742098894115203</v>
      </c>
      <c r="V84" s="34">
        <v>0.89829776881231205</v>
      </c>
      <c r="W84" s="34"/>
    </row>
    <row r="85" spans="1:23">
      <c r="A85" s="1" t="s">
        <v>1039</v>
      </c>
      <c r="B85" s="34">
        <v>0.127409687453999</v>
      </c>
      <c r="C85" s="34">
        <v>0.16808431715341199</v>
      </c>
      <c r="D85" s="34">
        <v>0.20322425340976899</v>
      </c>
      <c r="E85" s="34">
        <v>0.25678974069683802</v>
      </c>
      <c r="F85" s="34">
        <v>0.28594130994004002</v>
      </c>
      <c r="G85" s="34">
        <v>0.31879837672004901</v>
      </c>
      <c r="H85" s="34">
        <v>0.34900676201223002</v>
      </c>
      <c r="I85" s="34">
        <v>0.40318858277027098</v>
      </c>
      <c r="J85" s="34">
        <v>0.47226245298134401</v>
      </c>
      <c r="K85" s="34">
        <v>0.54211694578090996</v>
      </c>
      <c r="L85" s="34">
        <v>0.62480421363977501</v>
      </c>
      <c r="M85" s="34">
        <v>0.69718116521835305</v>
      </c>
      <c r="N85" s="34">
        <v>0.76606106758117698</v>
      </c>
      <c r="O85" s="34">
        <v>0.88355493545532204</v>
      </c>
      <c r="P85" s="34">
        <v>1.04678118228912</v>
      </c>
      <c r="Q85" s="34">
        <v>1.26583588123322</v>
      </c>
      <c r="R85" s="34">
        <v>1.5442366600036601</v>
      </c>
      <c r="S85" s="34">
        <v>1.76394963264465</v>
      </c>
      <c r="T85" s="34">
        <v>1.9046421960576101</v>
      </c>
      <c r="U85" s="34">
        <v>2.0299388069121398</v>
      </c>
      <c r="V85" s="34">
        <v>2.1484244176444802</v>
      </c>
      <c r="W85" s="34"/>
    </row>
    <row r="86" spans="1:23">
      <c r="A86" s="1" t="s">
        <v>1176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</row>
    <row r="87" spans="1:23">
      <c r="A87" s="1" t="s">
        <v>1043</v>
      </c>
      <c r="B87" s="34">
        <v>756.17274580767605</v>
      </c>
      <c r="C87" s="34">
        <v>752.90960588560097</v>
      </c>
      <c r="D87" s="34">
        <v>744.39345046967298</v>
      </c>
      <c r="E87" s="34">
        <v>847.10017682772695</v>
      </c>
      <c r="F87" s="34">
        <v>961.17759851062897</v>
      </c>
      <c r="G87" s="34">
        <v>1187.46346591064</v>
      </c>
      <c r="H87" s="34">
        <v>1585.77153962837</v>
      </c>
      <c r="I87" s="34">
        <v>1754.6022523751201</v>
      </c>
      <c r="J87" s="34">
        <v>2008.6401798293</v>
      </c>
      <c r="K87" s="34">
        <v>2028.7476159580899</v>
      </c>
      <c r="L87" s="34">
        <v>2328.2987482006902</v>
      </c>
      <c r="M87" s="34">
        <v>2485.90087890625</v>
      </c>
      <c r="N87" s="34">
        <v>2789.9404296875</v>
      </c>
      <c r="O87" s="34">
        <v>2932.7470703125</v>
      </c>
      <c r="P87" s="34">
        <v>3059.93481445313</v>
      </c>
      <c r="Q87" s="34">
        <v>3164.99609375</v>
      </c>
      <c r="R87" s="34">
        <v>3159.34155273438</v>
      </c>
      <c r="S87" s="34">
        <v>3216.03491210938</v>
      </c>
      <c r="T87" s="34">
        <v>3362.32865553082</v>
      </c>
      <c r="U87" s="34">
        <v>3632.03777733076</v>
      </c>
      <c r="V87" s="34">
        <v>4053.8809154657702</v>
      </c>
      <c r="W87" s="34"/>
    </row>
    <row r="88" spans="1:23">
      <c r="A88" s="1" t="s">
        <v>346</v>
      </c>
      <c r="B88" s="34">
        <v>2.9580874330662899</v>
      </c>
      <c r="C88" s="34">
        <v>3.33243266627208</v>
      </c>
      <c r="D88" s="34">
        <v>3.8088367727424002</v>
      </c>
      <c r="E88" s="34">
        <v>4.7636549797578098</v>
      </c>
      <c r="F88" s="34">
        <v>9.0080317200041709</v>
      </c>
      <c r="G88" s="34">
        <v>9.0952915176180795</v>
      </c>
      <c r="H88" s="34">
        <v>8.9431827100202792</v>
      </c>
      <c r="I88" s="34">
        <v>9.0937257309714692</v>
      </c>
      <c r="J88" s="34">
        <v>9.1410665796672994</v>
      </c>
      <c r="K88" s="34">
        <v>9.4813497581447592</v>
      </c>
      <c r="L88" s="34">
        <v>9.9011354736464892</v>
      </c>
      <c r="M88" s="34">
        <v>10.141971588134799</v>
      </c>
      <c r="N88" s="34">
        <v>10.831163406372101</v>
      </c>
      <c r="O88" s="34">
        <v>11.873202323913601</v>
      </c>
      <c r="P88" s="34">
        <v>12.5058794021606</v>
      </c>
      <c r="Q88" s="34">
        <v>13.5881757736206</v>
      </c>
      <c r="R88" s="34">
        <v>14.4826145172119</v>
      </c>
      <c r="S88" s="34">
        <v>15.286075592041</v>
      </c>
      <c r="T88" s="34">
        <v>15.965401229546901</v>
      </c>
      <c r="U88" s="34">
        <v>16.666895025313199</v>
      </c>
      <c r="V88" s="34">
        <v>17.498873142183001</v>
      </c>
      <c r="W88" s="34"/>
    </row>
    <row r="89" spans="1:23">
      <c r="A89" s="1" t="s">
        <v>1044</v>
      </c>
      <c r="B89" s="34">
        <v>204.55810808117599</v>
      </c>
      <c r="C89" s="34">
        <v>213.717287079085</v>
      </c>
      <c r="D89" s="34">
        <v>214.16973249160199</v>
      </c>
      <c r="E89" s="34">
        <v>199.726801677217</v>
      </c>
      <c r="F89" s="34">
        <v>191.79355279465301</v>
      </c>
      <c r="G89" s="34">
        <v>196.78877069640501</v>
      </c>
      <c r="H89" s="34">
        <v>186.667406157355</v>
      </c>
      <c r="I89" s="34">
        <v>189.748196137364</v>
      </c>
      <c r="J89" s="34">
        <v>209.34758920053599</v>
      </c>
      <c r="K89" s="34">
        <v>202.65654266614499</v>
      </c>
      <c r="L89" s="34">
        <v>206.26254909720501</v>
      </c>
      <c r="M89" s="34">
        <v>230.39176940918</v>
      </c>
      <c r="N89" s="34">
        <v>232.193115234375</v>
      </c>
      <c r="O89" s="34">
        <v>229.74427795410199</v>
      </c>
      <c r="P89" s="34">
        <v>223.30358886718801</v>
      </c>
      <c r="Q89" s="34">
        <v>223.35075378418</v>
      </c>
      <c r="R89" s="34">
        <v>224.40704345703099</v>
      </c>
      <c r="S89" s="34">
        <v>222.74858093261699</v>
      </c>
      <c r="T89" s="34">
        <v>228.945921166967</v>
      </c>
      <c r="U89" s="34">
        <v>217.24275085968699</v>
      </c>
      <c r="V89" s="34">
        <v>214.87578102753</v>
      </c>
      <c r="W89" s="34"/>
    </row>
    <row r="90" spans="1:23">
      <c r="A90" s="1" t="s">
        <v>1058</v>
      </c>
      <c r="B90" s="34">
        <v>159.31103751502599</v>
      </c>
      <c r="C90" s="34">
        <v>137.22905605569599</v>
      </c>
      <c r="D90" s="34">
        <v>132.95385577232099</v>
      </c>
      <c r="E90" s="34">
        <v>131.35946919915901</v>
      </c>
      <c r="F90" s="34">
        <v>149.562579611281</v>
      </c>
      <c r="G90" s="34">
        <v>206.80084165410901</v>
      </c>
      <c r="H90" s="34">
        <v>226.77345761335701</v>
      </c>
      <c r="I90" s="34">
        <v>227.549437746737</v>
      </c>
      <c r="J90" s="34">
        <v>267.492258070285</v>
      </c>
      <c r="K90" s="34">
        <v>210.17076610729299</v>
      </c>
      <c r="L90" s="34">
        <v>259.49327302996602</v>
      </c>
      <c r="M90" s="34">
        <v>297.50949096679699</v>
      </c>
      <c r="N90" s="34">
        <v>295.03802490234398</v>
      </c>
      <c r="O90" s="34">
        <v>289.67855834960898</v>
      </c>
      <c r="P90" s="34">
        <v>284.185302734375</v>
      </c>
      <c r="Q90" s="34">
        <v>277.46356201171898</v>
      </c>
      <c r="R90" s="34">
        <v>267.94314575195301</v>
      </c>
      <c r="S90" s="34">
        <v>248.93429565429699</v>
      </c>
      <c r="T90" s="34">
        <v>266.22548978220601</v>
      </c>
      <c r="U90" s="34">
        <v>255.811376685124</v>
      </c>
      <c r="V90" s="34">
        <v>229.17663726227701</v>
      </c>
      <c r="W90" s="34"/>
    </row>
    <row r="91" spans="1:23">
      <c r="A91" s="1" t="s">
        <v>1073</v>
      </c>
      <c r="B91" s="34">
        <v>0.66977299999999995</v>
      </c>
      <c r="C91" s="34">
        <v>0.66864999999999997</v>
      </c>
      <c r="D91" s="34">
        <v>0.66296699999999997</v>
      </c>
      <c r="E91" s="34">
        <v>0.68508199999999997</v>
      </c>
      <c r="F91" s="34">
        <v>0.69451399999999996</v>
      </c>
      <c r="G91" s="34">
        <v>0.70897600000000005</v>
      </c>
      <c r="H91" s="34">
        <v>0.69245500000000004</v>
      </c>
      <c r="I91" s="34">
        <v>0.71831699999999998</v>
      </c>
      <c r="J91" s="34">
        <v>0.707951</v>
      </c>
      <c r="K91" s="34">
        <v>0.70443199999999995</v>
      </c>
      <c r="L91" s="34">
        <v>0.72197699999999998</v>
      </c>
      <c r="M91" s="34">
        <v>0.71316299999999999</v>
      </c>
      <c r="N91" s="34">
        <v>0.68466300000000002</v>
      </c>
      <c r="O91" s="34">
        <v>0.63128600000000001</v>
      </c>
      <c r="P91" s="34">
        <v>0.61113499999999998</v>
      </c>
      <c r="Q91" s="34">
        <v>0.60907</v>
      </c>
      <c r="R91" s="34">
        <v>0.58857999999999999</v>
      </c>
      <c r="S91" s="34">
        <v>0.57504100000000002</v>
      </c>
      <c r="T91" s="34">
        <v>0.56485700000000005</v>
      </c>
      <c r="U91" s="34">
        <v>0.56303800000000004</v>
      </c>
      <c r="V91" s="34">
        <v>0.55280899999999999</v>
      </c>
      <c r="W91" s="34">
        <v>0.53848099999999999</v>
      </c>
    </row>
    <row r="92" spans="1:23">
      <c r="A92" s="1" t="s">
        <v>1075</v>
      </c>
      <c r="B92" s="34">
        <v>1.7868594307633601</v>
      </c>
      <c r="C92" s="34">
        <v>1.78599831889493</v>
      </c>
      <c r="D92" s="34">
        <v>1.7647309901391801</v>
      </c>
      <c r="E92" s="34">
        <v>1.7312204628065599</v>
      </c>
      <c r="F92" s="34">
        <v>1.72007601770366</v>
      </c>
      <c r="G92" s="34">
        <v>1.7096469544109101</v>
      </c>
      <c r="H92" s="34">
        <v>1.7363037470782601</v>
      </c>
      <c r="I92" s="34">
        <v>1.7301009972299299</v>
      </c>
      <c r="J92" s="34">
        <v>1.8302734070773301</v>
      </c>
      <c r="K92" s="34">
        <v>1.8162460620551599</v>
      </c>
      <c r="L92" s="34">
        <v>1.8039383240745499</v>
      </c>
      <c r="M92" s="34">
        <v>1.7709947824478101</v>
      </c>
      <c r="N92" s="34">
        <v>1.8003737926483201</v>
      </c>
      <c r="O92" s="34">
        <v>1.76927518844604</v>
      </c>
      <c r="P92" s="34">
        <v>1.73278737068176</v>
      </c>
      <c r="Q92" s="34">
        <v>1.7355021238327</v>
      </c>
      <c r="R92" s="34">
        <v>1.7301242351532</v>
      </c>
      <c r="S92" s="34">
        <v>1.69031286239624</v>
      </c>
      <c r="T92" s="34">
        <v>1.6400523409313701</v>
      </c>
      <c r="U92" s="34">
        <v>1.6628314875754</v>
      </c>
      <c r="V92" s="34">
        <v>1.63618259110172</v>
      </c>
      <c r="W92" s="34"/>
    </row>
    <row r="93" spans="1:23">
      <c r="A93" s="1" t="s">
        <v>1177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3">
      <c r="A94" s="1" t="s">
        <v>1041</v>
      </c>
      <c r="B94" s="34">
        <v>2.3794419104343398</v>
      </c>
      <c r="C94" s="34">
        <v>2.5051496969989002</v>
      </c>
      <c r="D94" s="34">
        <v>2.6256801788269799</v>
      </c>
      <c r="E94" s="34">
        <v>2.69306767085537</v>
      </c>
      <c r="F94" s="34">
        <v>2.7804389505329001</v>
      </c>
      <c r="G94" s="34">
        <v>2.8492925231540198</v>
      </c>
      <c r="H94" s="34">
        <v>2.9033635485799998</v>
      </c>
      <c r="I94" s="34">
        <v>3.0285916245583402</v>
      </c>
      <c r="J94" s="34">
        <v>3.2502838326935501</v>
      </c>
      <c r="K94" s="34">
        <v>3.3418233575627001</v>
      </c>
      <c r="L94" s="34">
        <v>3.4730423271053601</v>
      </c>
      <c r="M94" s="34">
        <v>3.6365325450897199</v>
      </c>
      <c r="N94" s="34">
        <v>3.6478822231292698</v>
      </c>
      <c r="O94" s="34">
        <v>3.7168335914611799</v>
      </c>
      <c r="P94" s="34">
        <v>3.7668333053588898</v>
      </c>
      <c r="Q94" s="34">
        <v>3.7315721511840798</v>
      </c>
      <c r="R94" s="34">
        <v>3.8576567173004199</v>
      </c>
      <c r="S94" s="34">
        <v>3.9325940608978298</v>
      </c>
      <c r="T94" s="34">
        <v>3.8860728347467801</v>
      </c>
      <c r="U94" s="34">
        <v>3.95843973386688</v>
      </c>
      <c r="V94" s="34">
        <v>4.0147619312471097</v>
      </c>
      <c r="W94" s="34"/>
    </row>
    <row r="95" spans="1:23">
      <c r="A95" s="1" t="s">
        <v>1178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</row>
    <row r="96" spans="1:23">
      <c r="A96" s="1" t="s">
        <v>1045</v>
      </c>
      <c r="B96" s="34">
        <v>72.335437036180593</v>
      </c>
      <c r="C96" s="34">
        <v>71.0107683828071</v>
      </c>
      <c r="D96" s="34">
        <v>71.735675617447498</v>
      </c>
      <c r="E96" s="34">
        <v>73.7509460598217</v>
      </c>
      <c r="F96" s="34">
        <v>76.683271723613402</v>
      </c>
      <c r="G96" s="34">
        <v>80.042781435640705</v>
      </c>
      <c r="H96" s="34">
        <v>82.063612903420903</v>
      </c>
      <c r="I96" s="34">
        <v>90.0603469298254</v>
      </c>
      <c r="J96" s="34">
        <v>96.924971446233897</v>
      </c>
      <c r="K96" s="34">
        <v>97.052613167353499</v>
      </c>
      <c r="L96" s="34">
        <v>100.091745792518</v>
      </c>
      <c r="M96" s="34">
        <v>100.26947021484401</v>
      </c>
      <c r="N96" s="34">
        <v>104.88816070556599</v>
      </c>
      <c r="O96" s="34">
        <v>102.27834320068401</v>
      </c>
      <c r="P96" s="34">
        <v>101.92862701416</v>
      </c>
      <c r="Q96" s="34">
        <v>102.838325500488</v>
      </c>
      <c r="R96" s="34">
        <v>106.22980499267599</v>
      </c>
      <c r="S96" s="34">
        <v>105.35279083252</v>
      </c>
      <c r="T96" s="34">
        <v>99.911780096738298</v>
      </c>
      <c r="U96" s="34">
        <v>101.06637584005099</v>
      </c>
      <c r="V96" s="34">
        <v>73.602848464295903</v>
      </c>
      <c r="W96" s="34"/>
    </row>
    <row r="97" spans="1:23">
      <c r="A97" s="1" t="s">
        <v>1179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</row>
    <row r="98" spans="1:23">
      <c r="A98" s="1" t="s">
        <v>1083</v>
      </c>
      <c r="B98" s="34">
        <v>7.1027481460210504</v>
      </c>
      <c r="C98" s="34">
        <v>6.8269980019881498</v>
      </c>
      <c r="D98" s="34">
        <v>6.4920651426788201</v>
      </c>
      <c r="E98" s="34">
        <v>5.9907884990907201</v>
      </c>
      <c r="F98" s="34">
        <v>5.6242514262708996</v>
      </c>
      <c r="G98" s="34">
        <v>5.4461655588728304</v>
      </c>
      <c r="H98" s="34">
        <v>5.2579235205676902</v>
      </c>
      <c r="I98" s="34">
        <v>5.2810257005185699</v>
      </c>
      <c r="J98" s="34">
        <v>5.2466468970111402</v>
      </c>
      <c r="K98" s="34">
        <v>5.1874041123851704</v>
      </c>
      <c r="L98" s="34">
        <v>5.1415324727548297</v>
      </c>
      <c r="M98" s="34">
        <v>5.2326393127441397</v>
      </c>
      <c r="N98" s="34">
        <v>5.4542279243469203</v>
      </c>
      <c r="O98" s="34">
        <v>5.5475788116455096</v>
      </c>
      <c r="P98" s="34">
        <v>5.7064504623413104</v>
      </c>
      <c r="Q98" s="34">
        <v>5.8310532569885298</v>
      </c>
      <c r="R98" s="34">
        <v>5.9322891235351598</v>
      </c>
      <c r="S98" s="34">
        <v>6.0114331245422399</v>
      </c>
      <c r="T98" s="34">
        <v>6.0851998588495801</v>
      </c>
      <c r="U98" s="34">
        <v>6.10086307920038</v>
      </c>
      <c r="V98" s="34">
        <v>6.06649584218854</v>
      </c>
      <c r="W98" s="34"/>
    </row>
    <row r="99" spans="1:23">
      <c r="A99" s="1" t="s">
        <v>567</v>
      </c>
      <c r="B99" s="34">
        <v>6.2602480876111599</v>
      </c>
      <c r="C99" s="34">
        <v>6.6211191103880598</v>
      </c>
      <c r="D99" s="34">
        <v>6.8525203336567699</v>
      </c>
      <c r="E99" s="34">
        <v>7.1150740422183896</v>
      </c>
      <c r="F99" s="34">
        <v>7.3755714417122897</v>
      </c>
      <c r="G99" s="34">
        <v>7.6734285200735304</v>
      </c>
      <c r="H99" s="34">
        <v>7.8464060828005202</v>
      </c>
      <c r="I99" s="34">
        <v>8.1474081728884507</v>
      </c>
      <c r="J99" s="34">
        <v>8.6145684164684706</v>
      </c>
      <c r="K99" s="34">
        <v>9.2037397237623306</v>
      </c>
      <c r="L99" s="34">
        <v>9.5231421127622706</v>
      </c>
      <c r="M99" s="34">
        <v>10.056561470031699</v>
      </c>
      <c r="N99" s="34">
        <v>10.370379447936999</v>
      </c>
      <c r="O99" s="34">
        <v>10.331550598144499</v>
      </c>
      <c r="P99" s="34">
        <v>10.398200988769499</v>
      </c>
      <c r="Q99" s="34">
        <v>10.474433898925801</v>
      </c>
      <c r="R99" s="34">
        <v>10.392535209655801</v>
      </c>
      <c r="S99" s="34">
        <v>10.361558914184601</v>
      </c>
      <c r="T99" s="34">
        <v>10.315644271298201</v>
      </c>
      <c r="U99" s="34">
        <v>10.5529534568496</v>
      </c>
      <c r="V99" s="34">
        <v>10.9105034471389</v>
      </c>
      <c r="W99" s="34"/>
    </row>
    <row r="100" spans="1:23">
      <c r="A100" s="1" t="s">
        <v>1227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</row>
    <row r="101" spans="1:23">
      <c r="A101" s="1" t="s">
        <v>1046</v>
      </c>
      <c r="B101" s="34">
        <v>3.7870053493703701</v>
      </c>
      <c r="C101" s="34">
        <v>3.87384314829225</v>
      </c>
      <c r="D101" s="34">
        <v>3.87933775920007</v>
      </c>
      <c r="E101" s="34">
        <v>3.9840325096461702</v>
      </c>
      <c r="F101" s="34">
        <v>4.0080633961030996</v>
      </c>
      <c r="G101" s="34">
        <v>4.0934974328739502</v>
      </c>
      <c r="H101" s="34">
        <v>3.91408088001526</v>
      </c>
      <c r="I101" s="34">
        <v>3.8655444934825001</v>
      </c>
      <c r="J101" s="34">
        <v>3.8723968840197398</v>
      </c>
      <c r="K101" s="34">
        <v>3.8425698020325298</v>
      </c>
      <c r="L101" s="34">
        <v>3.8735194617462998</v>
      </c>
      <c r="M101" s="34">
        <v>3.7526257333045101</v>
      </c>
      <c r="N101" s="34">
        <v>3.6641500513419101</v>
      </c>
      <c r="O101" s="34">
        <v>3.5751211981300899</v>
      </c>
      <c r="P101" s="34">
        <v>3.5434770147884902</v>
      </c>
      <c r="Q101" s="34">
        <v>3.5123715045647299</v>
      </c>
      <c r="R101" s="34">
        <v>3.3820051520979901</v>
      </c>
      <c r="S101" s="34">
        <v>3.3246604315163499</v>
      </c>
      <c r="T101" s="34">
        <v>3.3110588139547499</v>
      </c>
      <c r="U101" s="34">
        <v>3.3198952345317898</v>
      </c>
      <c r="V101" s="34">
        <v>3.24782326880542</v>
      </c>
      <c r="W101" s="34"/>
    </row>
    <row r="102" spans="1:23">
      <c r="A102" s="1" t="s">
        <v>1047</v>
      </c>
      <c r="B102" s="34">
        <v>7.2178720792737998</v>
      </c>
      <c r="C102" s="34">
        <v>7.9986746254675101</v>
      </c>
      <c r="D102" s="34">
        <v>8.4723641736742508</v>
      </c>
      <c r="E102" s="34">
        <v>9.5673343759328002</v>
      </c>
      <c r="F102" s="34">
        <v>11.582621599607799</v>
      </c>
      <c r="G102" s="34">
        <v>12.740273972276</v>
      </c>
      <c r="H102" s="34">
        <v>13.520053386586399</v>
      </c>
      <c r="I102" s="34">
        <v>14.3716314610085</v>
      </c>
      <c r="J102" s="34">
        <v>15.470773501644899</v>
      </c>
      <c r="K102" s="34">
        <v>17.049570259659401</v>
      </c>
      <c r="L102" s="34">
        <v>18.0992833884672</v>
      </c>
      <c r="M102" s="34">
        <v>18.4949626922607</v>
      </c>
      <c r="N102" s="34">
        <v>20.128587722778299</v>
      </c>
      <c r="O102" s="34">
        <v>20.9299430847168</v>
      </c>
      <c r="P102" s="34">
        <v>21.5955810546875</v>
      </c>
      <c r="Q102" s="34">
        <v>23.232265472412099</v>
      </c>
      <c r="R102" s="34">
        <v>25.260469436645501</v>
      </c>
      <c r="S102" s="34">
        <v>28.498395919799801</v>
      </c>
      <c r="T102" s="34">
        <v>29.855891591207602</v>
      </c>
      <c r="U102" s="34">
        <v>34.4802586420168</v>
      </c>
      <c r="V102" s="34">
        <v>41.081384928433401</v>
      </c>
      <c r="W102" s="34"/>
    </row>
    <row r="103" spans="1:23">
      <c r="A103" s="1" t="s">
        <v>1084</v>
      </c>
      <c r="B103" s="34">
        <v>110.086598</v>
      </c>
      <c r="C103" s="34">
        <v>114.440223</v>
      </c>
      <c r="D103" s="34">
        <v>118.141282</v>
      </c>
      <c r="E103" s="34">
        <v>122.012198</v>
      </c>
      <c r="F103" s="34">
        <v>128.38200599999999</v>
      </c>
      <c r="G103" s="34">
        <v>130.929945</v>
      </c>
      <c r="H103" s="34">
        <v>131.49053499999999</v>
      </c>
      <c r="I103" s="34">
        <v>134.066824</v>
      </c>
      <c r="J103" s="34">
        <v>131.00535500000001</v>
      </c>
      <c r="K103" s="34">
        <v>127.690292</v>
      </c>
      <c r="L103" s="34">
        <v>126.410628</v>
      </c>
      <c r="M103" s="34">
        <v>124.27183599999999</v>
      </c>
      <c r="N103" s="34">
        <v>125.623608</v>
      </c>
      <c r="O103" s="34">
        <v>124.979432</v>
      </c>
      <c r="P103" s="34">
        <v>129.414974</v>
      </c>
      <c r="Q103" s="34">
        <v>132.55350999999999</v>
      </c>
      <c r="R103" s="34">
        <v>132.03379699999999</v>
      </c>
      <c r="S103" s="34">
        <v>136.03652199999999</v>
      </c>
      <c r="T103" s="34">
        <v>139.09245100000001</v>
      </c>
      <c r="U103" s="34">
        <v>145.14084199999999</v>
      </c>
      <c r="V103" s="34">
        <v>148.80370400000001</v>
      </c>
      <c r="W103" s="34">
        <v>152.550219</v>
      </c>
    </row>
    <row r="104" spans="1:23">
      <c r="A104" s="1" t="s">
        <v>1228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 spans="1:23">
      <c r="A105" s="1" t="s">
        <v>1229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</row>
    <row r="106" spans="1:23">
      <c r="A106" s="1" t="s">
        <v>1232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</row>
    <row r="107" spans="1:23">
      <c r="A107" s="1" t="s">
        <v>1230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 spans="1:23">
      <c r="A108" s="1" t="s">
        <v>602</v>
      </c>
      <c r="B108" s="34">
        <v>1385.0470580128399</v>
      </c>
      <c r="C108" s="34">
        <v>1549.0717125301601</v>
      </c>
      <c r="D108" s="34">
        <v>1614.86248409566</v>
      </c>
      <c r="E108" s="34">
        <v>1672.4185145986801</v>
      </c>
      <c r="F108" s="34">
        <v>1767.8287564582199</v>
      </c>
      <c r="G108" s="34">
        <v>1960.1331910080801</v>
      </c>
      <c r="H108" s="34">
        <v>2170.5793012029899</v>
      </c>
      <c r="I108" s="34">
        <v>2351.7802982653002</v>
      </c>
      <c r="J108" s="34">
        <v>2725.6059469520001</v>
      </c>
      <c r="K108" s="34">
        <v>2928.8152684666402</v>
      </c>
      <c r="L108" s="34">
        <v>3336.99389226419</v>
      </c>
      <c r="M108" s="34">
        <v>3512.75390625</v>
      </c>
      <c r="N108" s="34">
        <v>3569.892578125</v>
      </c>
      <c r="O108" s="34">
        <v>3765.671875</v>
      </c>
      <c r="P108" s="34">
        <v>4030.77465820313</v>
      </c>
      <c r="Q108" s="34">
        <v>4353.3271484375</v>
      </c>
      <c r="R108" s="34">
        <v>4518.10400390625</v>
      </c>
      <c r="S108" s="34">
        <v>4695.65869140625</v>
      </c>
      <c r="T108" s="34">
        <v>4760.65178372434</v>
      </c>
      <c r="U108" s="34">
        <v>4751.9357416655603</v>
      </c>
      <c r="V108" s="34">
        <v>4673.9304450347399</v>
      </c>
      <c r="W108" s="34"/>
    </row>
    <row r="109" spans="1:23">
      <c r="A109" s="1" t="s">
        <v>1231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 spans="1:23">
      <c r="A110" s="1" t="s">
        <v>1180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3">
      <c r="A111" s="1" t="s">
        <v>245</v>
      </c>
      <c r="B111" s="34">
        <v>9.6643330397365901</v>
      </c>
      <c r="C111" s="34">
        <v>9.7610006194302592</v>
      </c>
      <c r="D111" s="34">
        <v>9.9660492555972304</v>
      </c>
      <c r="E111" s="34">
        <v>10.1627833559142</v>
      </c>
      <c r="F111" s="34">
        <v>10.4629596305065</v>
      </c>
      <c r="G111" s="34">
        <v>10.7173381934026</v>
      </c>
      <c r="H111" s="34">
        <v>11.276446797198</v>
      </c>
      <c r="I111" s="34">
        <v>11.744052423633001</v>
      </c>
      <c r="J111" s="34">
        <v>12.579116650386799</v>
      </c>
      <c r="K111" s="34">
        <v>13.3628606643372</v>
      </c>
      <c r="L111" s="34">
        <v>14.599320835726999</v>
      </c>
      <c r="M111" s="34">
        <v>15.5495491027832</v>
      </c>
      <c r="N111" s="34">
        <v>16.160835266113299</v>
      </c>
      <c r="O111" s="34">
        <v>17.3423252105713</v>
      </c>
      <c r="P111" s="34">
        <v>18.386548995971701</v>
      </c>
      <c r="Q111" s="34">
        <v>19.235002517700199</v>
      </c>
      <c r="R111" s="34">
        <v>19.898727416992202</v>
      </c>
      <c r="S111" s="34">
        <v>20.647792816162099</v>
      </c>
      <c r="T111" s="34">
        <v>20.917233961233201</v>
      </c>
      <c r="U111" s="34">
        <v>21.283205354234099</v>
      </c>
      <c r="V111" s="34">
        <v>21.9995780982483</v>
      </c>
      <c r="W111" s="34"/>
    </row>
    <row r="112" spans="1:23">
      <c r="A112" s="1" t="s">
        <v>1181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 spans="1:23">
      <c r="A113" s="1" t="s">
        <v>1091</v>
      </c>
      <c r="B113" s="34">
        <v>0.94394800000000001</v>
      </c>
      <c r="C113" s="34">
        <v>0.96963100000000002</v>
      </c>
      <c r="D113" s="34">
        <v>0.98199700000000001</v>
      </c>
      <c r="E113" s="34">
        <v>1.003935</v>
      </c>
      <c r="F113" s="34">
        <v>0.99115200000000003</v>
      </c>
      <c r="G113" s="34">
        <v>1.0117069999999999</v>
      </c>
      <c r="H113" s="34">
        <v>0.97823199999999999</v>
      </c>
      <c r="I113" s="34">
        <v>0.95779199999999998</v>
      </c>
      <c r="J113" s="34">
        <v>0.94444700000000004</v>
      </c>
      <c r="K113" s="34">
        <v>0.90128399999999997</v>
      </c>
      <c r="L113" s="34">
        <v>0.84950300000000001</v>
      </c>
      <c r="M113" s="34">
        <v>0.83151299999999995</v>
      </c>
      <c r="N113" s="34">
        <v>0.82307200000000003</v>
      </c>
      <c r="O113" s="34">
        <v>0.81122799999999995</v>
      </c>
      <c r="P113" s="34">
        <v>0.81904100000000002</v>
      </c>
      <c r="Q113" s="34">
        <v>0.80968600000000002</v>
      </c>
      <c r="R113" s="34">
        <v>0.79428900000000002</v>
      </c>
      <c r="S113" s="34">
        <v>0.79440500000000003</v>
      </c>
      <c r="T113" s="34">
        <v>0.79221399999999997</v>
      </c>
      <c r="U113" s="34">
        <v>0.82689800000000002</v>
      </c>
      <c r="V113" s="34">
        <v>0.80115599999999998</v>
      </c>
      <c r="W113" s="34">
        <v>0.77547200000000005</v>
      </c>
    </row>
    <row r="114" spans="1:23">
      <c r="A114" s="1" t="s">
        <v>443</v>
      </c>
      <c r="B114" s="34">
        <v>929.15837479378899</v>
      </c>
      <c r="C114" s="34">
        <v>1059.7516630790101</v>
      </c>
      <c r="D114" s="34">
        <v>1348.15302654783</v>
      </c>
      <c r="E114" s="34">
        <v>1496.4416622077099</v>
      </c>
      <c r="F114" s="34">
        <v>1816.4384763189701</v>
      </c>
      <c r="G114" s="34">
        <v>2116.8076032694898</v>
      </c>
      <c r="H114" s="34">
        <v>2354.2486591680599</v>
      </c>
      <c r="I114" s="34">
        <v>2818.5763806407899</v>
      </c>
      <c r="J114" s="34">
        <v>3301.7758570126898</v>
      </c>
      <c r="K114" s="34">
        <v>3427.4791911563002</v>
      </c>
      <c r="L114" s="34">
        <v>3926.1039438236799</v>
      </c>
      <c r="M114" s="34">
        <v>4758.86962890625</v>
      </c>
      <c r="N114" s="34">
        <v>6093.5625</v>
      </c>
      <c r="O114" s="34">
        <v>8503.8466796875</v>
      </c>
      <c r="P114" s="34">
        <v>9758.5537109375</v>
      </c>
      <c r="Q114" s="34">
        <v>10701.5615234375</v>
      </c>
      <c r="R114" s="34">
        <v>11796.810546875</v>
      </c>
      <c r="S114" s="34">
        <v>13061.294921875</v>
      </c>
      <c r="T114" s="34">
        <v>16951.282129063999</v>
      </c>
      <c r="U114" s="34">
        <v>22800.982319278999</v>
      </c>
      <c r="V114" s="34">
        <v>31317.2837555968</v>
      </c>
      <c r="W114" s="34"/>
    </row>
    <row r="115" spans="1:23">
      <c r="A115" s="1" t="s">
        <v>1089</v>
      </c>
      <c r="B115" s="34">
        <v>193.24309085923201</v>
      </c>
      <c r="C115" s="34">
        <v>152.88983169449401</v>
      </c>
      <c r="D115" s="34">
        <v>162.79323879646199</v>
      </c>
      <c r="E115" s="34">
        <v>181.97463339914799</v>
      </c>
      <c r="F115" s="34">
        <v>207.88184623704501</v>
      </c>
      <c r="G115" s="34">
        <v>273.89222374762898</v>
      </c>
      <c r="H115" s="34">
        <v>327.11093905198402</v>
      </c>
      <c r="I115" s="34">
        <v>364.56042253346101</v>
      </c>
      <c r="J115" s="34">
        <v>465.51317552372598</v>
      </c>
      <c r="K115" s="34">
        <v>371.80496004237801</v>
      </c>
      <c r="L115" s="34">
        <v>428.48239146510298</v>
      </c>
      <c r="M115" s="34">
        <v>523.34020996093795</v>
      </c>
      <c r="N115" s="34">
        <v>525.73785400390602</v>
      </c>
      <c r="O115" s="34">
        <v>531.128173828125</v>
      </c>
      <c r="P115" s="34">
        <v>557.27947998046898</v>
      </c>
      <c r="Q115" s="34">
        <v>560.51654052734398</v>
      </c>
      <c r="R115" s="34">
        <v>570.48498535156295</v>
      </c>
      <c r="S115" s="34">
        <v>560.76080322265602</v>
      </c>
      <c r="T115" s="34">
        <v>647.30010232923098</v>
      </c>
      <c r="U115" s="34">
        <v>620.20300852614002</v>
      </c>
      <c r="V115" s="34">
        <v>519.82869502867197</v>
      </c>
      <c r="W115" s="34"/>
    </row>
    <row r="116" spans="1:23">
      <c r="A116" s="1" t="s">
        <v>1085</v>
      </c>
      <c r="B116" s="34">
        <v>84.733553999999998</v>
      </c>
      <c r="C116" s="34">
        <v>88.320978999999994</v>
      </c>
      <c r="D116" s="34">
        <v>91.105412999999999</v>
      </c>
      <c r="E116" s="34">
        <v>92.608203000000003</v>
      </c>
      <c r="F116" s="34">
        <v>93.286739999999995</v>
      </c>
      <c r="G116" s="34">
        <v>95.840665000000001</v>
      </c>
      <c r="H116" s="34">
        <v>101.632762</v>
      </c>
      <c r="I116" s="34">
        <v>107.360854</v>
      </c>
      <c r="J116" s="34">
        <v>114.52700299999999</v>
      </c>
      <c r="K116" s="34">
        <v>121.975931</v>
      </c>
      <c r="L116" s="34">
        <v>132.880921</v>
      </c>
      <c r="M116" s="34">
        <v>135.15200400000001</v>
      </c>
      <c r="N116" s="34">
        <v>136.96767</v>
      </c>
      <c r="O116" s="34">
        <v>137.022617</v>
      </c>
      <c r="P116" s="34">
        <v>138.54786899999999</v>
      </c>
      <c r="Q116" s="34">
        <v>141.97492600000001</v>
      </c>
      <c r="R116" s="34">
        <v>140.02995000000001</v>
      </c>
      <c r="S116" s="34">
        <v>138.277175</v>
      </c>
      <c r="T116" s="34">
        <v>140.97027800000001</v>
      </c>
      <c r="U116" s="34">
        <v>145.01074299999999</v>
      </c>
      <c r="V116" s="34">
        <v>149.685438</v>
      </c>
      <c r="W116" s="34">
        <v>150.09255999999999</v>
      </c>
    </row>
    <row r="117" spans="1:23">
      <c r="A117" s="1" t="s">
        <v>1093</v>
      </c>
      <c r="B117" s="34">
        <v>3.441675</v>
      </c>
      <c r="C117" s="34">
        <v>3.4253480000000001</v>
      </c>
      <c r="D117" s="34">
        <v>3.4626760000000001</v>
      </c>
      <c r="E117" s="34">
        <v>3.6270709999999999</v>
      </c>
      <c r="F117" s="34">
        <v>3.5357889999999998</v>
      </c>
      <c r="G117" s="34">
        <v>3.7169370000000002</v>
      </c>
      <c r="H117" s="34">
        <v>3.7887029999999999</v>
      </c>
      <c r="I117" s="34">
        <v>3.7257669999999998</v>
      </c>
      <c r="J117" s="34">
        <v>3.8672049999999998</v>
      </c>
      <c r="K117" s="34">
        <v>3.9779209999999998</v>
      </c>
      <c r="L117" s="34">
        <v>3.9904839999999999</v>
      </c>
      <c r="M117" s="34">
        <v>3.944763</v>
      </c>
      <c r="N117" s="34">
        <v>3.9553579999999999</v>
      </c>
      <c r="O117" s="34">
        <v>3.839566</v>
      </c>
      <c r="P117" s="34">
        <v>3.9403869999999999</v>
      </c>
      <c r="Q117" s="34">
        <v>3.9239250000000001</v>
      </c>
      <c r="R117" s="34">
        <v>3.7885110000000002</v>
      </c>
      <c r="S117" s="34">
        <v>3.751633</v>
      </c>
      <c r="T117" s="34">
        <v>3.7846639999999998</v>
      </c>
      <c r="U117" s="34">
        <v>3.9162409999999999</v>
      </c>
      <c r="V117" s="34">
        <v>3.851099</v>
      </c>
      <c r="W117" s="34">
        <v>3.7912270000000001</v>
      </c>
    </row>
    <row r="118" spans="1:23">
      <c r="A118" s="1" t="s">
        <v>1095</v>
      </c>
      <c r="B118" s="34">
        <v>0.80536099999999999</v>
      </c>
      <c r="C118" s="34">
        <v>0.81651600000000002</v>
      </c>
      <c r="D118" s="34">
        <v>0.82348900000000003</v>
      </c>
      <c r="E118" s="34">
        <v>0.83346399999999998</v>
      </c>
      <c r="F118" s="34">
        <v>0.85186399999999995</v>
      </c>
      <c r="G118" s="34">
        <v>0.85513899999999998</v>
      </c>
      <c r="H118" s="34">
        <v>0.82284199999999996</v>
      </c>
      <c r="I118" s="34">
        <v>0.80938100000000002</v>
      </c>
      <c r="J118" s="34">
        <v>0.783694</v>
      </c>
      <c r="K118" s="34">
        <v>0.77132299999999998</v>
      </c>
      <c r="L118" s="34">
        <v>0.77312899999999996</v>
      </c>
      <c r="M118" s="34">
        <v>0.758687</v>
      </c>
      <c r="N118" s="34">
        <v>0.74773100000000003</v>
      </c>
      <c r="O118" s="34">
        <v>0.73729900000000004</v>
      </c>
      <c r="P118" s="34">
        <v>0.73964399999999997</v>
      </c>
      <c r="Q118" s="34">
        <v>0.73869399999999996</v>
      </c>
      <c r="R118" s="34">
        <v>0.70054400000000006</v>
      </c>
      <c r="S118" s="34">
        <v>0.68989500000000004</v>
      </c>
      <c r="T118" s="34">
        <v>0.68121900000000002</v>
      </c>
      <c r="U118" s="34">
        <v>0.67783499999999997</v>
      </c>
      <c r="V118" s="34">
        <v>0.66380499999999998</v>
      </c>
      <c r="W118" s="34">
        <v>0.64438099999999998</v>
      </c>
    </row>
    <row r="119" spans="1:23">
      <c r="A119" s="1" t="s">
        <v>1052</v>
      </c>
      <c r="B119" s="34">
        <v>22.941523533242002</v>
      </c>
      <c r="C119" s="34">
        <v>24.201804507670701</v>
      </c>
      <c r="D119" s="34">
        <v>25.989172628054401</v>
      </c>
      <c r="E119" s="34">
        <v>28.481244551259099</v>
      </c>
      <c r="F119" s="34">
        <v>31.3008484917214</v>
      </c>
      <c r="G119" s="34">
        <v>33.836669874793301</v>
      </c>
      <c r="H119" s="34">
        <v>35.748772688968998</v>
      </c>
      <c r="I119" s="34">
        <v>38.7547624482769</v>
      </c>
      <c r="J119" s="34">
        <v>43.165176761213502</v>
      </c>
      <c r="K119" s="34">
        <v>47.832079884635803</v>
      </c>
      <c r="L119" s="34">
        <v>51.919526838417298</v>
      </c>
      <c r="M119" s="34">
        <v>53.804946899414098</v>
      </c>
      <c r="N119" s="34">
        <v>56.475269317627003</v>
      </c>
      <c r="O119" s="34">
        <v>59.334335327148402</v>
      </c>
      <c r="P119" s="34">
        <v>62.759792327880902</v>
      </c>
      <c r="Q119" s="34">
        <v>65.295219421386705</v>
      </c>
      <c r="R119" s="34">
        <v>65.903694152832003</v>
      </c>
      <c r="S119" s="34">
        <v>67.581840515136705</v>
      </c>
      <c r="T119" s="34">
        <v>69.292661079519405</v>
      </c>
      <c r="U119" s="34">
        <v>70.243941363538994</v>
      </c>
      <c r="V119" s="34">
        <v>71.875424240819598</v>
      </c>
      <c r="W119" s="34"/>
    </row>
    <row r="120" spans="1:23">
      <c r="A120" s="1" t="s">
        <v>1054</v>
      </c>
      <c r="B120" s="34">
        <v>0.197230593006476</v>
      </c>
      <c r="C120" s="34">
        <v>0.19450132545223101</v>
      </c>
      <c r="D120" s="34">
        <v>0.19323975770541199</v>
      </c>
      <c r="E120" s="34">
        <v>0.19379204902503</v>
      </c>
      <c r="F120" s="34">
        <v>0.19454628170594701</v>
      </c>
      <c r="G120" s="34">
        <v>0.19245518004243101</v>
      </c>
      <c r="H120" s="34">
        <v>0.206700330641304</v>
      </c>
      <c r="I120" s="34">
        <v>0.211458743919341</v>
      </c>
      <c r="J120" s="34">
        <v>0.25639656948218098</v>
      </c>
      <c r="K120" s="34">
        <v>0.262501613380412</v>
      </c>
      <c r="L120" s="34">
        <v>0.280437269152086</v>
      </c>
      <c r="M120" s="34">
        <v>0.290935188531876</v>
      </c>
      <c r="N120" s="34">
        <v>0.30213180184364302</v>
      </c>
      <c r="O120" s="34">
        <v>0.30802938342094399</v>
      </c>
      <c r="P120" s="34">
        <v>0.319498181343079</v>
      </c>
      <c r="Q120" s="34">
        <v>0.31237363815307601</v>
      </c>
      <c r="R120" s="34">
        <v>0.31383964419364901</v>
      </c>
      <c r="S120" s="34">
        <v>0.300330430269241</v>
      </c>
      <c r="T120" s="34">
        <v>0.298307169729644</v>
      </c>
      <c r="U120" s="34">
        <v>0.29797152291387602</v>
      </c>
      <c r="V120" s="34">
        <v>0.29365149381245498</v>
      </c>
      <c r="W120" s="34"/>
    </row>
    <row r="121" spans="1:23">
      <c r="A121" s="1" t="s">
        <v>1098</v>
      </c>
      <c r="B121" s="34">
        <v>154.691385</v>
      </c>
      <c r="C121" s="34">
        <v>149.64188799999999</v>
      </c>
      <c r="D121" s="34">
        <v>143.77420499999999</v>
      </c>
      <c r="E121" s="34">
        <v>139.579081</v>
      </c>
      <c r="F121" s="34">
        <v>134.401332</v>
      </c>
      <c r="G121" s="34">
        <v>129.55195499999999</v>
      </c>
      <c r="H121" s="34">
        <v>124.44886099999999</v>
      </c>
      <c r="I121" s="34">
        <v>120.31948199999999</v>
      </c>
      <c r="J121" s="34">
        <v>116.845814</v>
      </c>
      <c r="K121" s="34">
        <v>115.219075</v>
      </c>
      <c r="L121" s="34">
        <v>111.709563</v>
      </c>
      <c r="M121" s="34">
        <v>107.45428099999999</v>
      </c>
      <c r="N121" s="34">
        <v>104.273972</v>
      </c>
      <c r="O121" s="34">
        <v>101.302673</v>
      </c>
      <c r="P121" s="34">
        <v>103.052076</v>
      </c>
      <c r="Q121" s="34">
        <v>103.469437</v>
      </c>
      <c r="R121" s="34">
        <v>105.519502</v>
      </c>
      <c r="S121" s="34">
        <v>105.101901</v>
      </c>
      <c r="T121" s="34">
        <v>104.158636</v>
      </c>
      <c r="U121" s="34">
        <v>104.305752</v>
      </c>
      <c r="V121" s="34">
        <v>101.24037</v>
      </c>
      <c r="W121" s="34">
        <v>96.759440999999995</v>
      </c>
    </row>
    <row r="122" spans="1:23">
      <c r="A122" s="1" t="s">
        <v>1055</v>
      </c>
      <c r="B122" s="34">
        <v>22.5868578639326</v>
      </c>
      <c r="C122" s="34">
        <v>24.346846956138599</v>
      </c>
      <c r="D122" s="34">
        <v>25.3586355298842</v>
      </c>
      <c r="E122" s="34">
        <v>27.8187446399393</v>
      </c>
      <c r="F122" s="34">
        <v>31.459406795273399</v>
      </c>
      <c r="G122" s="34">
        <v>35.962509961837</v>
      </c>
      <c r="H122" s="34">
        <v>42.429055382134997</v>
      </c>
      <c r="I122" s="34">
        <v>47.734767111586599</v>
      </c>
      <c r="J122" s="34">
        <v>56.627299316458803</v>
      </c>
      <c r="K122" s="34">
        <v>58.8352039321544</v>
      </c>
      <c r="L122" s="34">
        <v>69.522832218231699</v>
      </c>
      <c r="M122" s="34">
        <v>82.090095520019503</v>
      </c>
      <c r="N122" s="34">
        <v>83.832473754882798</v>
      </c>
      <c r="O122" s="34">
        <v>86.235084533691406</v>
      </c>
      <c r="P122" s="34">
        <v>92.813674926757798</v>
      </c>
      <c r="Q122" s="34">
        <v>100.349800109863</v>
      </c>
      <c r="R122" s="34">
        <v>110.82453918457</v>
      </c>
      <c r="S122" s="34">
        <v>121.253463745117</v>
      </c>
      <c r="T122" s="34">
        <v>129.31085076210101</v>
      </c>
      <c r="U122" s="34">
        <v>136.74049312254601</v>
      </c>
      <c r="V122" s="34">
        <v>140.80149946239399</v>
      </c>
      <c r="W122" s="34"/>
    </row>
    <row r="123" spans="1:23">
      <c r="A123" s="1" t="s">
        <v>382</v>
      </c>
      <c r="B123" s="34">
        <v>21.691178092964499</v>
      </c>
      <c r="C123" s="34">
        <v>21.5595145619031</v>
      </c>
      <c r="D123" s="34">
        <v>21.4218659981237</v>
      </c>
      <c r="E123" s="34">
        <v>22.3346700497607</v>
      </c>
      <c r="F123" s="34">
        <v>23.299163686098801</v>
      </c>
      <c r="G123" s="34">
        <v>23.702424243879801</v>
      </c>
      <c r="H123" s="34">
        <v>24.7976431023571</v>
      </c>
      <c r="I123" s="34">
        <v>26.112119565785999</v>
      </c>
      <c r="J123" s="34">
        <v>29.494701694355602</v>
      </c>
      <c r="K123" s="34">
        <v>32.677969211436299</v>
      </c>
      <c r="L123" s="34">
        <v>32.831062236535097</v>
      </c>
      <c r="M123" s="34">
        <v>35.396121978759801</v>
      </c>
      <c r="N123" s="34">
        <v>37.978683471679702</v>
      </c>
      <c r="O123" s="34">
        <v>37.667854309082003</v>
      </c>
      <c r="P123" s="34">
        <v>38.289257049560497</v>
      </c>
      <c r="Q123" s="34">
        <v>39.040477752685497</v>
      </c>
      <c r="R123" s="34">
        <v>39.384956359863303</v>
      </c>
      <c r="S123" s="34">
        <v>40.1849365234375</v>
      </c>
      <c r="T123" s="34">
        <v>40.904114413550303</v>
      </c>
      <c r="U123" s="34">
        <v>42.031367718905898</v>
      </c>
      <c r="V123" s="34">
        <v>43.682953017939099</v>
      </c>
      <c r="W123" s="34"/>
    </row>
    <row r="124" spans="1:23">
      <c r="A124" s="1" t="s">
        <v>1106</v>
      </c>
      <c r="B124" s="34">
        <v>7.1590826560761203</v>
      </c>
      <c r="C124" s="34">
        <v>7.5191298366260098</v>
      </c>
      <c r="D124" s="34">
        <v>7.5519603262726598</v>
      </c>
      <c r="E124" s="34">
        <v>7.7089550691767599</v>
      </c>
      <c r="F124" s="34">
        <v>7.89035690963662</v>
      </c>
      <c r="G124" s="34">
        <v>8.1974837571564798</v>
      </c>
      <c r="H124" s="34">
        <v>8.7039604451489296</v>
      </c>
      <c r="I124" s="34">
        <v>9.7372402362383994</v>
      </c>
      <c r="J124" s="34">
        <v>11.673401366628701</v>
      </c>
      <c r="K124" s="34">
        <v>12.052575772745101</v>
      </c>
      <c r="L124" s="34">
        <v>13.109164984434001</v>
      </c>
      <c r="M124" s="34">
        <v>15.7278079986572</v>
      </c>
      <c r="N124" s="34">
        <v>15.303433418273899</v>
      </c>
      <c r="O124" s="34">
        <v>15.364942550659199</v>
      </c>
      <c r="P124" s="34">
        <v>16.0363655090332</v>
      </c>
      <c r="Q124" s="34">
        <v>17.145973205566399</v>
      </c>
      <c r="R124" s="34">
        <v>16.7373352050781</v>
      </c>
      <c r="S124" s="34">
        <v>16.958723068237301</v>
      </c>
      <c r="T124" s="34">
        <v>17.132028960387601</v>
      </c>
      <c r="U124" s="34">
        <v>17.496303703007101</v>
      </c>
      <c r="V124" s="34">
        <v>18.283718835260402</v>
      </c>
      <c r="W124" s="34"/>
    </row>
    <row r="125" spans="1:23">
      <c r="A125" s="1" t="s">
        <v>1020</v>
      </c>
      <c r="B125" s="34">
        <v>1077.3239045139401</v>
      </c>
      <c r="C125" s="34">
        <v>1082.1006534038099</v>
      </c>
      <c r="D125" s="34">
        <v>1072.84765206051</v>
      </c>
      <c r="E125" s="34">
        <v>1072.22012882478</v>
      </c>
      <c r="F125" s="34">
        <v>1094.4756130503599</v>
      </c>
      <c r="G125" s="34">
        <v>1125.9118750815701</v>
      </c>
      <c r="H125" s="34">
        <v>1143.4509209077301</v>
      </c>
      <c r="I125" s="34">
        <v>1186.11897129667</v>
      </c>
      <c r="J125" s="34">
        <v>1306.0588933453901</v>
      </c>
      <c r="K125" s="34">
        <v>1328.63875455827</v>
      </c>
      <c r="L125" s="34">
        <v>1354.3189518471499</v>
      </c>
      <c r="M125" s="34">
        <v>1371.2353515625</v>
      </c>
      <c r="N125" s="34">
        <v>1336.79028320313</v>
      </c>
      <c r="O125" s="34">
        <v>1340.06762695313</v>
      </c>
      <c r="P125" s="34">
        <v>1386.03576660156</v>
      </c>
      <c r="Q125" s="34">
        <v>1395.92004394531</v>
      </c>
      <c r="R125" s="34">
        <v>1402.13061523438</v>
      </c>
      <c r="S125" s="34">
        <v>1428.353515625</v>
      </c>
      <c r="T125" s="34">
        <v>1438.26876413531</v>
      </c>
      <c r="U125" s="34">
        <v>1458.7610110793701</v>
      </c>
      <c r="V125" s="34">
        <v>1428.9112992196499</v>
      </c>
      <c r="W125" s="34"/>
    </row>
    <row r="126" spans="1:23">
      <c r="A126" s="1" t="s">
        <v>1102</v>
      </c>
      <c r="B126" s="34">
        <v>0.86822038670771196</v>
      </c>
      <c r="C126" s="34">
        <v>0.90686569686457097</v>
      </c>
      <c r="D126" s="34">
        <v>0.93690986163456902</v>
      </c>
      <c r="E126" s="34">
        <v>0.94410482993878697</v>
      </c>
      <c r="F126" s="34">
        <v>0.93505313508073795</v>
      </c>
      <c r="G126" s="34">
        <v>0.91145013708184897</v>
      </c>
      <c r="H126" s="34">
        <v>0.88241746641207797</v>
      </c>
      <c r="I126" s="34">
        <v>0.91217480392825201</v>
      </c>
      <c r="J126" s="34">
        <v>0.96918721505364802</v>
      </c>
      <c r="K126" s="34">
        <v>0.96348804628625595</v>
      </c>
      <c r="L126" s="34">
        <v>0.963613711260075</v>
      </c>
      <c r="M126" s="34">
        <v>0.96162138169192601</v>
      </c>
      <c r="N126" s="34">
        <v>0.93979341900600899</v>
      </c>
      <c r="O126" s="34">
        <v>0.92483833868472098</v>
      </c>
      <c r="P126" s="34">
        <v>0.95076888734019904</v>
      </c>
      <c r="Q126" s="34">
        <v>0.97461157845701196</v>
      </c>
      <c r="R126" s="34">
        <v>0.96614611553309704</v>
      </c>
      <c r="S126" s="34">
        <v>0.95746757689850204</v>
      </c>
      <c r="T126" s="34">
        <v>0.98776496129958502</v>
      </c>
      <c r="U126" s="34">
        <v>0.94462221273244895</v>
      </c>
      <c r="V126" s="34">
        <v>1.00810786113539</v>
      </c>
      <c r="W126" s="34"/>
    </row>
    <row r="127" spans="1:23">
      <c r="A127" s="1" t="s">
        <v>1150</v>
      </c>
      <c r="B127" s="34">
        <v>1.5789294161273799</v>
      </c>
      <c r="C127" s="34">
        <v>1.60585289357511</v>
      </c>
      <c r="D127" s="34">
        <v>1.6357982239017299</v>
      </c>
      <c r="E127" s="34">
        <v>1.6327837433451799</v>
      </c>
      <c r="F127" s="34">
        <v>1.6510197992804401</v>
      </c>
      <c r="G127" s="34">
        <v>1.5751462084588701</v>
      </c>
      <c r="H127" s="34">
        <v>1.74549585368865</v>
      </c>
      <c r="I127" s="34">
        <v>1.8073477945665199</v>
      </c>
      <c r="J127" s="34">
        <v>1.82073762755441</v>
      </c>
      <c r="K127" s="34">
        <v>1.8747429786325001</v>
      </c>
      <c r="L127" s="34">
        <v>1.8951937543511099</v>
      </c>
      <c r="M127" s="34">
        <v>1.96119391918182</v>
      </c>
      <c r="N127" s="34">
        <v>2.0161473751068102</v>
      </c>
      <c r="O127" s="34">
        <v>2.0336470603942902</v>
      </c>
      <c r="P127" s="34">
        <v>2.0349855422973602</v>
      </c>
      <c r="Q127" s="34">
        <v>2.0349133014678999</v>
      </c>
      <c r="R127" s="34">
        <v>2.0376164913177499</v>
      </c>
      <c r="S127" s="34">
        <v>2.0397644042968799</v>
      </c>
      <c r="T127" s="34">
        <v>1.9720767214512001</v>
      </c>
      <c r="U127" s="34">
        <v>1.9966749878175001</v>
      </c>
      <c r="V127" s="34">
        <v>1.9405645419054001</v>
      </c>
      <c r="W127" s="34"/>
    </row>
    <row r="128" spans="1:23">
      <c r="A128" s="1" t="s">
        <v>1103</v>
      </c>
      <c r="B128" s="34">
        <v>747.73679400000003</v>
      </c>
      <c r="C128" s="34">
        <v>756.69913399999996</v>
      </c>
      <c r="D128" s="34">
        <v>769.77179000000001</v>
      </c>
      <c r="E128" s="34">
        <v>791.29371400000002</v>
      </c>
      <c r="F128" s="34">
        <v>794.71155199999998</v>
      </c>
      <c r="G128" s="34">
        <v>788.92013499999996</v>
      </c>
      <c r="H128" s="34">
        <v>772.21616100000006</v>
      </c>
      <c r="I128" s="34">
        <v>770.08552599999996</v>
      </c>
      <c r="J128" s="34">
        <v>785.71788600000002</v>
      </c>
      <c r="K128" s="34">
        <v>828.42084799999998</v>
      </c>
      <c r="L128" s="34">
        <v>840.99170200000003</v>
      </c>
      <c r="M128" s="34">
        <v>854.58572300000003</v>
      </c>
      <c r="N128" s="34">
        <v>854.88726799999995</v>
      </c>
      <c r="O128" s="34">
        <v>869.08142199999998</v>
      </c>
      <c r="P128" s="34">
        <v>871.878106</v>
      </c>
      <c r="Q128" s="34">
        <v>857.48338699999999</v>
      </c>
      <c r="R128" s="34">
        <v>858.80968700000005</v>
      </c>
      <c r="S128" s="34">
        <v>872.62477100000001</v>
      </c>
      <c r="T128" s="34">
        <v>854.871397</v>
      </c>
      <c r="U128" s="34">
        <v>864.63056700000004</v>
      </c>
      <c r="V128" s="34">
        <v>824.60492399999998</v>
      </c>
      <c r="W128" s="34">
        <v>808.46232999999995</v>
      </c>
    </row>
    <row r="129" spans="1:23">
      <c r="A129" s="1" t="s">
        <v>1182</v>
      </c>
      <c r="B129" s="34">
        <v>0.100704505598938</v>
      </c>
      <c r="C129" s="34">
        <v>9.0936785571650303E-2</v>
      </c>
      <c r="D129" s="34">
        <v>9.4129568163247704E-2</v>
      </c>
      <c r="E129" s="34">
        <v>9.6960702389869993E-2</v>
      </c>
      <c r="F129" s="34">
        <v>0.105155358337872</v>
      </c>
      <c r="G129" s="34">
        <v>0.12418059001208299</v>
      </c>
      <c r="H129" s="34">
        <v>0.14003087208565301</v>
      </c>
      <c r="I129" s="34">
        <v>0.142241505388495</v>
      </c>
      <c r="J129" s="34">
        <v>0.16556745110104501</v>
      </c>
      <c r="K129" s="34">
        <v>0.136107636062446</v>
      </c>
      <c r="L129" s="34">
        <v>0.14947834681361</v>
      </c>
      <c r="M129" s="34">
        <v>0.17168940603733099</v>
      </c>
      <c r="N129" s="34">
        <v>0.17596618831157701</v>
      </c>
      <c r="O129" s="34">
        <v>0.17943559587001801</v>
      </c>
      <c r="P129" s="34">
        <v>0.17893409729003901</v>
      </c>
      <c r="Q129" s="34">
        <v>0.19029478728771199</v>
      </c>
      <c r="R129" s="34">
        <v>0.186951458454132</v>
      </c>
      <c r="S129" s="34">
        <v>0.17748399078846</v>
      </c>
      <c r="T129" s="34">
        <v>0.195132621972682</v>
      </c>
      <c r="U129" s="34">
        <v>0.189148031375829</v>
      </c>
      <c r="V129" s="34">
        <v>0.16059707412142901</v>
      </c>
      <c r="W129" s="34"/>
    </row>
    <row r="130" spans="1:23">
      <c r="A130" s="1" t="s">
        <v>1234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</row>
    <row r="131" spans="1:23">
      <c r="A131" s="1" t="s">
        <v>1107</v>
      </c>
      <c r="B131" s="34">
        <v>1398.3986331098099</v>
      </c>
      <c r="C131" s="34">
        <v>1489.7334645559899</v>
      </c>
      <c r="D131" s="34">
        <v>1559.1989166257999</v>
      </c>
      <c r="E131" s="34">
        <v>1736.66112136793</v>
      </c>
      <c r="F131" s="34">
        <v>1871.9215389241299</v>
      </c>
      <c r="G131" s="34">
        <v>1972.227836366</v>
      </c>
      <c r="H131" s="34">
        <v>2121.1390423509902</v>
      </c>
      <c r="I131" s="34">
        <v>2219.29887333339</v>
      </c>
      <c r="J131" s="34">
        <v>2369.9075111453799</v>
      </c>
      <c r="K131" s="34">
        <v>2283.0155117707</v>
      </c>
      <c r="L131" s="34">
        <v>2464.2598554544602</v>
      </c>
      <c r="M131" s="34">
        <v>2666.53491210938</v>
      </c>
      <c r="N131" s="34">
        <v>2615.5234375</v>
      </c>
      <c r="O131" s="34">
        <v>2712.92993164063</v>
      </c>
      <c r="P131" s="34">
        <v>2738.37084960938</v>
      </c>
      <c r="Q131" s="34">
        <v>2819.72900390625</v>
      </c>
      <c r="R131" s="34">
        <v>2759.42553710938</v>
      </c>
      <c r="S131" s="34">
        <v>2789.10864257813</v>
      </c>
      <c r="T131" s="34">
        <v>2776.0050803085201</v>
      </c>
      <c r="U131" s="34">
        <v>2783.0524568921901</v>
      </c>
      <c r="V131" s="34">
        <v>2887.16652858009</v>
      </c>
      <c r="W131" s="34"/>
    </row>
    <row r="132" spans="1:23">
      <c r="A132" s="1" t="s">
        <v>1057</v>
      </c>
      <c r="B132" s="34">
        <v>756.37419294379799</v>
      </c>
      <c r="C132" s="34">
        <v>728.85152613970399</v>
      </c>
      <c r="D132" s="34">
        <v>752.81197803410396</v>
      </c>
      <c r="E132" s="34">
        <v>750.77326195295097</v>
      </c>
      <c r="F132" s="34">
        <v>722.06425121007896</v>
      </c>
      <c r="G132" s="34">
        <v>692.81368686291296</v>
      </c>
      <c r="H132" s="34">
        <v>678.38620264838403</v>
      </c>
      <c r="I132" s="34">
        <v>681.33691507398805</v>
      </c>
      <c r="J132" s="34">
        <v>718.684597296692</v>
      </c>
      <c r="K132" s="34">
        <v>786.60135405020503</v>
      </c>
      <c r="L132" s="34">
        <v>782.03995751290802</v>
      </c>
      <c r="M132" s="34">
        <v>788.75180645870296</v>
      </c>
      <c r="N132" s="34">
        <v>808.92030205478898</v>
      </c>
      <c r="O132" s="34">
        <v>798.52602767824101</v>
      </c>
      <c r="P132" s="34">
        <v>771.11485189242899</v>
      </c>
      <c r="Q132" s="34">
        <v>764.82144213490699</v>
      </c>
      <c r="R132" s="34">
        <v>742.68610569779696</v>
      </c>
      <c r="S132" s="34">
        <v>734.77587993388397</v>
      </c>
      <c r="T132" s="34">
        <v>756.68559690799304</v>
      </c>
      <c r="U132" s="34">
        <v>775.81064158690504</v>
      </c>
      <c r="V132" s="34">
        <v>1414.9794051246699</v>
      </c>
      <c r="W132" s="34"/>
    </row>
    <row r="133" spans="1:23">
      <c r="A133" s="1" t="s">
        <v>1113</v>
      </c>
      <c r="B133" s="34">
        <v>0.30887128448302598</v>
      </c>
      <c r="C133" s="34">
        <v>0.304418059774758</v>
      </c>
      <c r="D133" s="34">
        <v>0.29550416606452601</v>
      </c>
      <c r="E133" s="34">
        <v>0.335117812450898</v>
      </c>
      <c r="F133" s="34">
        <v>0.38134625225600699</v>
      </c>
      <c r="G133" s="34">
        <v>0.37163856333488299</v>
      </c>
      <c r="H133" s="34">
        <v>0.393673941090188</v>
      </c>
      <c r="I133" s="34">
        <v>0.42944809447827897</v>
      </c>
      <c r="J133" s="34">
        <v>0.49424210542393399</v>
      </c>
      <c r="K133" s="34">
        <v>0.47714714211382098</v>
      </c>
      <c r="L133" s="34">
        <v>0.50236515756678701</v>
      </c>
      <c r="M133" s="34">
        <v>0.545838707946248</v>
      </c>
      <c r="N133" s="34">
        <v>0.56039926454289701</v>
      </c>
      <c r="O133" s="34">
        <v>0.53903488182800097</v>
      </c>
      <c r="P133" s="34">
        <v>0.52186249940632701</v>
      </c>
      <c r="Q133" s="34">
        <v>0.54979163534734199</v>
      </c>
      <c r="R133" s="34">
        <v>0.51819765629242898</v>
      </c>
      <c r="S133" s="34">
        <v>0.46099355118409702</v>
      </c>
      <c r="T133" s="34">
        <v>0.449239886295421</v>
      </c>
      <c r="U133" s="34">
        <v>0.43888742078216197</v>
      </c>
      <c r="V133" s="34">
        <v>0.43105028636916298</v>
      </c>
      <c r="W133" s="34"/>
    </row>
    <row r="134" spans="1:23">
      <c r="A134" s="1" t="s">
        <v>1115</v>
      </c>
      <c r="B134" s="34">
        <v>0.202760753374537</v>
      </c>
      <c r="C134" s="34">
        <v>0.212664313346523</v>
      </c>
      <c r="D134" s="34">
        <v>0.26639572268912598</v>
      </c>
      <c r="E134" s="34">
        <v>0.29910246227878401</v>
      </c>
      <c r="F134" s="34">
        <v>0.35710169480262299</v>
      </c>
      <c r="G134" s="34">
        <v>0.445251104782734</v>
      </c>
      <c r="H134" s="34">
        <v>0.47305923719693499</v>
      </c>
      <c r="I134" s="34">
        <v>0.51145213693287905</v>
      </c>
      <c r="J134" s="34">
        <v>0.61121100303071696</v>
      </c>
      <c r="K134" s="34">
        <v>0.45304263826074098</v>
      </c>
      <c r="L134" s="34">
        <v>0.51124107417128895</v>
      </c>
      <c r="M134" s="34">
        <v>0.59217624207225505</v>
      </c>
      <c r="N134" s="34">
        <v>0.67670555644760699</v>
      </c>
      <c r="O134" s="34">
        <v>0.66332263732611996</v>
      </c>
      <c r="P134" s="34">
        <v>0.57529794907579102</v>
      </c>
      <c r="Q134" s="34">
        <v>0.49030461875141201</v>
      </c>
      <c r="R134" s="34">
        <v>0.50505690779461798</v>
      </c>
      <c r="S134" s="34">
        <v>0.60611022753967603</v>
      </c>
      <c r="T134" s="34">
        <v>0.69917249521801905</v>
      </c>
      <c r="U134" s="34">
        <v>0.67932919287590499</v>
      </c>
      <c r="V134" s="34">
        <v>0.47684353605951901</v>
      </c>
      <c r="W134" s="34"/>
    </row>
    <row r="135" spans="1:23">
      <c r="A135" s="1" t="s">
        <v>1151</v>
      </c>
      <c r="B135" s="34">
        <v>1.73393142356198</v>
      </c>
      <c r="C135" s="34">
        <v>1.6812388107140299</v>
      </c>
      <c r="D135" s="34">
        <v>1.6618737426124901</v>
      </c>
      <c r="E135" s="34">
        <v>1.7168157214792199</v>
      </c>
      <c r="F135" s="34">
        <v>1.68364577580203</v>
      </c>
      <c r="G135" s="34">
        <v>1.7453976263155699</v>
      </c>
      <c r="H135" s="34">
        <v>1.78181140227332</v>
      </c>
      <c r="I135" s="34">
        <v>1.7975083808877099</v>
      </c>
      <c r="J135" s="34">
        <v>1.80786974960137</v>
      </c>
      <c r="K135" s="34">
        <v>1.7999050910859999</v>
      </c>
      <c r="L135" s="34">
        <v>1.8576024471793799</v>
      </c>
      <c r="M135" s="34">
        <v>1.8296931982040401</v>
      </c>
      <c r="N135" s="34">
        <v>1.8756631612777701</v>
      </c>
      <c r="O135" s="34">
        <v>1.87722980976105</v>
      </c>
      <c r="P135" s="34">
        <v>1.9314279556274401</v>
      </c>
      <c r="Q135" s="34">
        <v>2.0110747814178498</v>
      </c>
      <c r="R135" s="34">
        <v>1.9576119184494001</v>
      </c>
      <c r="S135" s="34">
        <v>1.99576032161713</v>
      </c>
      <c r="T135" s="34">
        <v>1.95837500402512</v>
      </c>
      <c r="U135" s="34">
        <v>1.9752889605302699</v>
      </c>
      <c r="V135" s="34">
        <v>1.8703879392518501</v>
      </c>
      <c r="W135" s="34"/>
    </row>
    <row r="136" spans="1:23">
      <c r="A136" s="1" t="s">
        <v>1183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</row>
    <row r="137" spans="1:23">
      <c r="A137" s="1" t="s">
        <v>1184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</row>
    <row r="138" spans="1:23">
      <c r="A138" s="1" t="s">
        <v>1185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</row>
    <row r="139" spans="1:23">
      <c r="A139" s="1" t="s">
        <v>1186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</row>
    <row r="140" spans="1:23">
      <c r="A140" s="1" t="s">
        <v>1096</v>
      </c>
      <c r="B140" s="34">
        <v>19.0931378555597</v>
      </c>
      <c r="C140" s="34">
        <v>19.6453635698428</v>
      </c>
      <c r="D140" s="34">
        <v>20.908192976301802</v>
      </c>
      <c r="E140" s="34">
        <v>22.322824508657199</v>
      </c>
      <c r="F140" s="34">
        <v>23.650835562175601</v>
      </c>
      <c r="G140" s="34">
        <v>25.326059346060202</v>
      </c>
      <c r="H140" s="34">
        <v>27.354289731151098</v>
      </c>
      <c r="I140" s="34">
        <v>30.3756947447825</v>
      </c>
      <c r="J140" s="34">
        <v>34.660938391963498</v>
      </c>
      <c r="K140" s="34">
        <v>36.421303090076101</v>
      </c>
      <c r="L140" s="34">
        <v>38.6295440062271</v>
      </c>
      <c r="M140" s="34">
        <v>39.288887023925803</v>
      </c>
      <c r="N140" s="34">
        <v>41.447456359863303</v>
      </c>
      <c r="O140" s="34">
        <v>42.938968658447301</v>
      </c>
      <c r="P140" s="34">
        <v>44.298309326171903</v>
      </c>
      <c r="Q140" s="34">
        <v>45.183189392089801</v>
      </c>
      <c r="R140" s="34">
        <v>46.282962799072301</v>
      </c>
      <c r="S140" s="34">
        <v>49.39013671875</v>
      </c>
      <c r="T140" s="34">
        <v>50.0777672216174</v>
      </c>
      <c r="U140" s="34">
        <v>50.545392618937697</v>
      </c>
      <c r="V140" s="34">
        <v>51.654119072248598</v>
      </c>
      <c r="W140" s="34"/>
    </row>
    <row r="141" spans="1:23">
      <c r="A141" s="1" t="s">
        <v>1237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 spans="1:23">
      <c r="A142" s="1" t="s">
        <v>1236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</row>
    <row r="143" spans="1:23">
      <c r="A143" s="1" t="s">
        <v>1059</v>
      </c>
      <c r="B143" s="34">
        <v>2.4113208979156902</v>
      </c>
      <c r="C143" s="34">
        <v>2.6302798350344099</v>
      </c>
      <c r="D143" s="34">
        <v>2.9571862394571</v>
      </c>
      <c r="E143" s="34">
        <v>2.9740750813594001</v>
      </c>
      <c r="F143" s="34">
        <v>3.17414329252018</v>
      </c>
      <c r="G143" s="34">
        <v>3.2605776989328401</v>
      </c>
      <c r="H143" s="34">
        <v>3.45947881714544</v>
      </c>
      <c r="I143" s="34">
        <v>3.1436491752190499</v>
      </c>
      <c r="J143" s="34">
        <v>3.5993593178153298</v>
      </c>
      <c r="K143" s="34">
        <v>3.6560057144483</v>
      </c>
      <c r="L143" s="34">
        <v>3.80698626188375</v>
      </c>
      <c r="M143" s="34">
        <v>4.0807523727417001</v>
      </c>
      <c r="N143" s="34">
        <v>4.3733577728271502</v>
      </c>
      <c r="O143" s="34">
        <v>4.3930802345275897</v>
      </c>
      <c r="P143" s="34">
        <v>4.6232328414917001</v>
      </c>
      <c r="Q143" s="34">
        <v>4.75158739089966</v>
      </c>
      <c r="R143" s="34">
        <v>5.0115408897399902</v>
      </c>
      <c r="S143" s="34">
        <v>5.5058526992797896</v>
      </c>
      <c r="T143" s="34">
        <v>5.8941526084362996</v>
      </c>
      <c r="U143" s="34">
        <v>5.9729896600498096</v>
      </c>
      <c r="V143" s="34">
        <v>5.89992242225523</v>
      </c>
      <c r="W143" s="34"/>
    </row>
    <row r="144" spans="1:23">
      <c r="A144" s="1" t="s">
        <v>1233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 spans="1:23">
      <c r="A145" s="1" t="s">
        <v>1117</v>
      </c>
      <c r="B145" s="34">
        <v>0.45172299999999999</v>
      </c>
      <c r="C145" s="34">
        <v>0.43287500000000001</v>
      </c>
      <c r="D145" s="34">
        <v>0.42072999999999999</v>
      </c>
      <c r="E145" s="34">
        <v>0.40399200000000002</v>
      </c>
      <c r="F145" s="34">
        <v>0.41404099999999999</v>
      </c>
      <c r="G145" s="34">
        <v>0.43516300000000002</v>
      </c>
      <c r="H145" s="34">
        <v>0.44625199999999998</v>
      </c>
      <c r="I145" s="34">
        <v>0.47019499999999997</v>
      </c>
      <c r="J145" s="34">
        <v>0.49282900000000002</v>
      </c>
      <c r="K145" s="34">
        <v>0.469393</v>
      </c>
      <c r="L145" s="34">
        <v>0.45037700000000003</v>
      </c>
      <c r="M145" s="34">
        <v>0.45192100000000002</v>
      </c>
      <c r="N145" s="34">
        <v>0.45265699999999998</v>
      </c>
      <c r="O145" s="34">
        <v>0.44334699999999999</v>
      </c>
      <c r="P145" s="34">
        <v>0.44262000000000001</v>
      </c>
      <c r="Q145" s="34">
        <v>0.44585799999999998</v>
      </c>
      <c r="R145" s="34">
        <v>0.43844</v>
      </c>
      <c r="S145" s="34">
        <v>0.44272</v>
      </c>
      <c r="T145" s="34">
        <v>0.44662000000000002</v>
      </c>
      <c r="U145" s="34">
        <v>0.45371600000000001</v>
      </c>
      <c r="V145" s="34">
        <v>0.45558799999999999</v>
      </c>
      <c r="W145" s="34">
        <v>0.45589499999999999</v>
      </c>
    </row>
    <row r="146" spans="1:23">
      <c r="A146" s="1" t="s">
        <v>1119</v>
      </c>
      <c r="B146" s="34">
        <v>0.95585299999999995</v>
      </c>
      <c r="C146" s="34">
        <v>0.96364899999999998</v>
      </c>
      <c r="D146" s="34">
        <v>0.95699599999999996</v>
      </c>
      <c r="E146" s="34">
        <v>0.96471499999999999</v>
      </c>
      <c r="F146" s="34">
        <v>0.95120800000000005</v>
      </c>
      <c r="G146" s="34">
        <v>0.94636299999999995</v>
      </c>
      <c r="H146" s="34">
        <v>0.91669100000000003</v>
      </c>
      <c r="I146" s="34">
        <v>0.92141799999999996</v>
      </c>
      <c r="J146" s="34">
        <v>0.90004499999999998</v>
      </c>
      <c r="K146" s="34">
        <v>0.90300499999999995</v>
      </c>
      <c r="L146" s="34">
        <v>0.92563799999999996</v>
      </c>
      <c r="M146" s="34">
        <v>0.90509899999999999</v>
      </c>
      <c r="N146" s="34">
        <v>0.90678999999999998</v>
      </c>
      <c r="O146" s="34">
        <v>0.89525399999999999</v>
      </c>
      <c r="P146" s="34">
        <v>0.88413799999999998</v>
      </c>
      <c r="Q146" s="34">
        <v>0.88126099999999996</v>
      </c>
      <c r="R146" s="34">
        <v>0.85189400000000004</v>
      </c>
      <c r="S146" s="34">
        <v>0.84831000000000001</v>
      </c>
      <c r="T146" s="34">
        <v>0.84886600000000001</v>
      </c>
      <c r="U146" s="34">
        <v>0.86188799999999999</v>
      </c>
      <c r="V146" s="34">
        <v>0.86443700000000001</v>
      </c>
      <c r="W146" s="34">
        <v>0.839453</v>
      </c>
    </row>
    <row r="147" spans="1:23">
      <c r="A147" s="1" t="s">
        <v>1109</v>
      </c>
      <c r="B147" s="34">
        <v>0.36085499999999998</v>
      </c>
      <c r="C147" s="34">
        <v>0.35342699999999999</v>
      </c>
      <c r="D147" s="34">
        <v>0.360954</v>
      </c>
      <c r="E147" s="34">
        <v>0.37822800000000001</v>
      </c>
      <c r="F147" s="34">
        <v>0.39933600000000002</v>
      </c>
      <c r="G147" s="34">
        <v>0.43859399999999998</v>
      </c>
      <c r="H147" s="34">
        <v>0.48889100000000002</v>
      </c>
      <c r="I147" s="34">
        <v>0.56580699999999995</v>
      </c>
      <c r="J147" s="34">
        <v>0.575542</v>
      </c>
      <c r="K147" s="34">
        <v>0.52112999999999998</v>
      </c>
      <c r="L147" s="34">
        <v>0.48700599999999999</v>
      </c>
      <c r="M147" s="34">
        <v>0.498506</v>
      </c>
      <c r="N147" s="34">
        <v>0.50620299999999996</v>
      </c>
      <c r="O147" s="34">
        <v>0.49927100000000002</v>
      </c>
      <c r="P147" s="34">
        <v>0.497558</v>
      </c>
      <c r="Q147" s="34">
        <v>0.49756899999999998</v>
      </c>
      <c r="R147" s="34">
        <v>0.48453499999999999</v>
      </c>
      <c r="S147" s="34">
        <v>0.484537</v>
      </c>
      <c r="T147" s="34">
        <v>0.48993100000000001</v>
      </c>
      <c r="U147" s="34">
        <v>0.50225799999999998</v>
      </c>
      <c r="V147" s="34">
        <v>0.49323699999999998</v>
      </c>
      <c r="W147" s="34">
        <v>0.498172</v>
      </c>
    </row>
    <row r="148" spans="1:23">
      <c r="A148" s="1" t="s">
        <v>1121</v>
      </c>
      <c r="B148" s="34">
        <v>3.6357942423321399</v>
      </c>
      <c r="C148" s="34">
        <v>3.5051393234649102</v>
      </c>
      <c r="D148" s="34">
        <v>3.40441567767727</v>
      </c>
      <c r="E148" s="34">
        <v>3.3440306798560102</v>
      </c>
      <c r="F148" s="34">
        <v>3.3193292297868102</v>
      </c>
      <c r="G148" s="34">
        <v>3.3982959264236499</v>
      </c>
      <c r="H148" s="34">
        <v>3.55393917028645</v>
      </c>
      <c r="I148" s="34">
        <v>3.7642185539849402</v>
      </c>
      <c r="J148" s="34">
        <v>4.0643391913805003</v>
      </c>
      <c r="K148" s="34">
        <v>4.0707934393615401</v>
      </c>
      <c r="L148" s="34">
        <v>4.21667181431574</v>
      </c>
      <c r="M148" s="34">
        <v>4.4397869110107404</v>
      </c>
      <c r="N148" s="34">
        <v>4.5652909278869602</v>
      </c>
      <c r="O148" s="34">
        <v>4.6438708305358896</v>
      </c>
      <c r="P148" s="34">
        <v>4.8606619834899902</v>
      </c>
      <c r="Q148" s="34">
        <v>5.13702344894409</v>
      </c>
      <c r="R148" s="34">
        <v>5.1178541183471697</v>
      </c>
      <c r="S148" s="34">
        <v>5.1549162864685103</v>
      </c>
      <c r="T148" s="34">
        <v>5.2124297847307597</v>
      </c>
      <c r="U148" s="34">
        <v>5.2441022317366697</v>
      </c>
      <c r="V148" s="34">
        <v>5.1694380083102702</v>
      </c>
      <c r="W148" s="34"/>
    </row>
    <row r="149" spans="1:23">
      <c r="A149" s="1" t="s">
        <v>1213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</row>
    <row r="150" spans="1:23">
      <c r="A150" s="1" t="s">
        <v>1072</v>
      </c>
      <c r="B150" s="34">
        <v>3.9630406173091202</v>
      </c>
      <c r="C150" s="34">
        <v>3.90327676462352</v>
      </c>
      <c r="D150" s="34">
        <v>3.8889358522705999</v>
      </c>
      <c r="E150" s="34">
        <v>3.8586019672148</v>
      </c>
      <c r="F150" s="34">
        <v>3.8032551602266</v>
      </c>
      <c r="G150" s="34">
        <v>3.7322762054796699</v>
      </c>
      <c r="H150" s="34">
        <v>3.6787271765406202</v>
      </c>
      <c r="I150" s="34">
        <v>3.7112839953119998</v>
      </c>
      <c r="J150" s="34">
        <v>3.8054034990071699</v>
      </c>
      <c r="K150" s="34">
        <v>3.7821607996274</v>
      </c>
      <c r="L150" s="34">
        <v>3.7750713414924202</v>
      </c>
      <c r="M150" s="34">
        <v>3.6722760200500502</v>
      </c>
      <c r="N150" s="34">
        <v>3.7496287822723402</v>
      </c>
      <c r="O150" s="34">
        <v>3.7939896583557098</v>
      </c>
      <c r="P150" s="34">
        <v>4.0338625907897896</v>
      </c>
      <c r="Q150" s="34">
        <v>3.9964454174041699</v>
      </c>
      <c r="R150" s="34">
        <v>3.9940369129180899</v>
      </c>
      <c r="S150" s="34">
        <v>4.0234403610229501</v>
      </c>
      <c r="T150" s="34">
        <v>3.9719161767410398</v>
      </c>
      <c r="U150" s="34">
        <v>3.9552116157327499</v>
      </c>
      <c r="V150" s="34">
        <v>3.9416259281361499</v>
      </c>
      <c r="W150" s="34"/>
    </row>
    <row r="151" spans="1:23">
      <c r="A151" s="1" t="s">
        <v>1187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</row>
    <row r="152" spans="1:23">
      <c r="A152" s="1" t="s">
        <v>1070</v>
      </c>
      <c r="B152" s="34">
        <v>1.7767580098686599</v>
      </c>
      <c r="C152" s="34">
        <v>1.9488090724946801</v>
      </c>
      <c r="D152" s="34">
        <v>2.1069986506344001</v>
      </c>
      <c r="E152" s="34">
        <v>2.3760980844764501</v>
      </c>
      <c r="F152" s="34">
        <v>2.4986111898915602</v>
      </c>
      <c r="G152" s="34">
        <v>2.6495529720890199</v>
      </c>
      <c r="H152" s="34">
        <v>2.91680523629877</v>
      </c>
      <c r="I152" s="34">
        <v>3.29238872300968</v>
      </c>
      <c r="J152" s="34">
        <v>3.52811877213303</v>
      </c>
      <c r="K152" s="34">
        <v>3.5773852927277399</v>
      </c>
      <c r="L152" s="34">
        <v>4.7139022427626198</v>
      </c>
      <c r="M152" s="34">
        <v>4.9956541061401403</v>
      </c>
      <c r="N152" s="34">
        <v>5.00982761383057</v>
      </c>
      <c r="O152" s="34">
        <v>4.9887223243713397</v>
      </c>
      <c r="P152" s="34">
        <v>5.2930145263671902</v>
      </c>
      <c r="Q152" s="34">
        <v>5.5560870170593297</v>
      </c>
      <c r="R152" s="34">
        <v>5.4087381362915004</v>
      </c>
      <c r="S152" s="34">
        <v>5.5724015235900897</v>
      </c>
      <c r="T152" s="34">
        <v>5.6147950155958197</v>
      </c>
      <c r="U152" s="34">
        <v>5.8142090577805998</v>
      </c>
      <c r="V152" s="34">
        <v>6.0579304837115897</v>
      </c>
      <c r="W152" s="34"/>
    </row>
    <row r="153" spans="1:23">
      <c r="A153" s="1" t="s">
        <v>1062</v>
      </c>
      <c r="B153" s="34">
        <v>306.66888926678502</v>
      </c>
      <c r="C153" s="34">
        <v>323.84441070293002</v>
      </c>
      <c r="D153" s="34">
        <v>371.39930664540702</v>
      </c>
      <c r="E153" s="34">
        <v>358.41454532565501</v>
      </c>
      <c r="F153" s="34">
        <v>397.72652711554201</v>
      </c>
      <c r="G153" s="34">
        <v>456.54326948961898</v>
      </c>
      <c r="H153" s="34">
        <v>490.83926084800902</v>
      </c>
      <c r="I153" s="34">
        <v>527.17524135967903</v>
      </c>
      <c r="J153" s="34">
        <v>555.82954618997303</v>
      </c>
      <c r="K153" s="34">
        <v>589.84715992590998</v>
      </c>
      <c r="L153" s="34">
        <v>642.63265349253504</v>
      </c>
      <c r="M153" s="34">
        <v>694.86267089843795</v>
      </c>
      <c r="N153" s="34">
        <v>742.898193359375</v>
      </c>
      <c r="O153" s="34">
        <v>777.65881347656295</v>
      </c>
      <c r="P153" s="34">
        <v>823.95611572265602</v>
      </c>
      <c r="Q153" s="34">
        <v>886.09130859375</v>
      </c>
      <c r="R153" s="34">
        <v>941.01086425781295</v>
      </c>
      <c r="S153" s="34">
        <v>1013.43463134766</v>
      </c>
      <c r="T153" s="34">
        <v>1071.7957556132801</v>
      </c>
      <c r="U153" s="34">
        <v>1121.67563641425</v>
      </c>
      <c r="V153" s="34">
        <v>1156.5469042314501</v>
      </c>
      <c r="W153" s="34"/>
    </row>
    <row r="154" spans="1:23">
      <c r="A154" s="1" t="s">
        <v>1124</v>
      </c>
      <c r="B154" s="34">
        <v>3.1905403494975801</v>
      </c>
      <c r="C154" s="34">
        <v>4.7109650459062102</v>
      </c>
      <c r="D154" s="34">
        <v>4.6606827996952704</v>
      </c>
      <c r="E154" s="34">
        <v>4.5970298066516202</v>
      </c>
      <c r="F154" s="34">
        <v>4.9228226922329004</v>
      </c>
      <c r="G154" s="34">
        <v>5.2113331665043701</v>
      </c>
      <c r="H154" s="34">
        <v>5.4308429302525898</v>
      </c>
      <c r="I154" s="34">
        <v>5.8238933137574698</v>
      </c>
      <c r="J154" s="34">
        <v>6.3440362098938401</v>
      </c>
      <c r="K154" s="34">
        <v>7.0066617089841197</v>
      </c>
      <c r="L154" s="34">
        <v>7.1255368260270604</v>
      </c>
      <c r="M154" s="34">
        <v>7.8616256713867196</v>
      </c>
      <c r="N154" s="34">
        <v>8.1541557312011701</v>
      </c>
      <c r="O154" s="34">
        <v>8.2464456558227504</v>
      </c>
      <c r="P154" s="34">
        <v>8.1737174987793004</v>
      </c>
      <c r="Q154" s="34">
        <v>8.2779111862182599</v>
      </c>
      <c r="R154" s="34">
        <v>8.1288604736328107</v>
      </c>
      <c r="S154" s="34">
        <v>8.1607799530029297</v>
      </c>
      <c r="T154" s="34">
        <v>8.2204518065891605</v>
      </c>
      <c r="U154" s="34">
        <v>7.9888876775433504</v>
      </c>
      <c r="V154" s="34">
        <v>7.9221843754709704</v>
      </c>
      <c r="W154" s="34"/>
    </row>
    <row r="155" spans="1:23">
      <c r="A155" s="1" t="s">
        <v>1238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</row>
    <row r="156" spans="1:23">
      <c r="A156" s="1" t="s">
        <v>537</v>
      </c>
      <c r="B156" s="34">
        <v>6.103205</v>
      </c>
      <c r="C156" s="34">
        <v>6.3293359999999996</v>
      </c>
      <c r="D156" s="34">
        <v>6.5536969999999997</v>
      </c>
      <c r="E156" s="34">
        <v>6.6446899999999998</v>
      </c>
      <c r="F156" s="34">
        <v>6.986186</v>
      </c>
      <c r="G156" s="34">
        <v>7.126862</v>
      </c>
      <c r="H156" s="34">
        <v>7.1554229999999999</v>
      </c>
      <c r="I156" s="34">
        <v>7.370463</v>
      </c>
      <c r="J156" s="34">
        <v>7.4695320000000001</v>
      </c>
      <c r="K156" s="34">
        <v>7.4340669999999998</v>
      </c>
      <c r="L156" s="34">
        <v>7.6796620000000004</v>
      </c>
      <c r="M156" s="34">
        <v>7.6730130000000001</v>
      </c>
      <c r="N156" s="34">
        <v>7.858708</v>
      </c>
      <c r="O156" s="34">
        <v>7.8843589999999999</v>
      </c>
      <c r="P156" s="34">
        <v>8.045318</v>
      </c>
      <c r="Q156" s="34">
        <v>8.3275950000000005</v>
      </c>
      <c r="R156" s="34">
        <v>8.4460429999999995</v>
      </c>
      <c r="S156" s="34">
        <v>8.9135519999999993</v>
      </c>
      <c r="T156" s="34">
        <v>9.2763629999999999</v>
      </c>
      <c r="U156" s="34">
        <v>9.6501649999999994</v>
      </c>
      <c r="V156" s="34">
        <v>9.7028130000000008</v>
      </c>
      <c r="W156" s="34">
        <v>9.9044080000000001</v>
      </c>
    </row>
    <row r="157" spans="1:23">
      <c r="A157" s="1" t="s">
        <v>1126</v>
      </c>
      <c r="B157" s="34">
        <v>0.93978629993656004</v>
      </c>
      <c r="C157" s="34">
        <v>0.91665073488263105</v>
      </c>
      <c r="D157" s="34">
        <v>0.93296276344368501</v>
      </c>
      <c r="E157" s="34">
        <v>0.92859573077127699</v>
      </c>
      <c r="F157" s="34">
        <v>0.90284939031601597</v>
      </c>
      <c r="G157" s="34">
        <v>0.88205027703061401</v>
      </c>
      <c r="H157" s="34">
        <v>0.89033838181344005</v>
      </c>
      <c r="I157" s="34">
        <v>0.88045669188046205</v>
      </c>
      <c r="J157" s="34">
        <v>0.94258586668598898</v>
      </c>
      <c r="K157" s="34">
        <v>0.89387564563729105</v>
      </c>
      <c r="L157" s="34">
        <v>0.88717418948768201</v>
      </c>
      <c r="M157" s="34">
        <v>0.93859516440826896</v>
      </c>
      <c r="N157" s="34">
        <v>0.98771575128731404</v>
      </c>
      <c r="O157" s="34">
        <v>0.95596315248349695</v>
      </c>
      <c r="P157" s="34">
        <v>0.93377652455397997</v>
      </c>
      <c r="Q157" s="34">
        <v>0.91862828146250897</v>
      </c>
      <c r="R157" s="34">
        <v>0.98369325735042001</v>
      </c>
      <c r="S157" s="34">
        <v>0.98940724082460496</v>
      </c>
      <c r="T157" s="34">
        <v>0.96954845436487103</v>
      </c>
      <c r="U157" s="34">
        <v>0.96523914920145804</v>
      </c>
      <c r="V157" s="34">
        <v>0.99563949478298297</v>
      </c>
      <c r="W157" s="34"/>
    </row>
    <row r="158" spans="1:23">
      <c r="A158" s="1" t="s">
        <v>1188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</row>
    <row r="159" spans="1:23">
      <c r="A159" s="1" t="s">
        <v>1189</v>
      </c>
      <c r="B159" s="34">
        <v>19.9464232315513</v>
      </c>
      <c r="C159" s="34">
        <v>20.501647323719801</v>
      </c>
      <c r="D159" s="34">
        <v>20.014998770592602</v>
      </c>
      <c r="E159" s="34">
        <v>20.100566455955999</v>
      </c>
      <c r="F159" s="34">
        <v>19.2617131653119</v>
      </c>
      <c r="G159" s="34">
        <v>19.2935694925525</v>
      </c>
      <c r="H159" s="34">
        <v>18.885435874610501</v>
      </c>
      <c r="I159" s="34">
        <v>19.513654773841601</v>
      </c>
      <c r="J159" s="34">
        <v>19.263834145433101</v>
      </c>
      <c r="K159" s="34">
        <v>18.3640880056778</v>
      </c>
      <c r="L159" s="34">
        <v>18.730350939597798</v>
      </c>
      <c r="M159" s="34">
        <v>19.289542537252199</v>
      </c>
      <c r="N159" s="34">
        <v>19.003523753943</v>
      </c>
      <c r="O159" s="34">
        <v>19.105370231430701</v>
      </c>
      <c r="P159" s="34">
        <v>18.995829989682399</v>
      </c>
      <c r="Q159" s="34">
        <v>19.440586586154801</v>
      </c>
      <c r="R159" s="34">
        <v>18.958609627896301</v>
      </c>
      <c r="S159" s="34">
        <v>18.970170161921601</v>
      </c>
      <c r="T159" s="34">
        <v>18.951155661657001</v>
      </c>
      <c r="U159" s="34">
        <v>19.009558148236302</v>
      </c>
      <c r="V159" s="34">
        <v>18.929175214331998</v>
      </c>
      <c r="W159" s="34"/>
    </row>
    <row r="160" spans="1:23">
      <c r="A160" s="1" t="s">
        <v>1066</v>
      </c>
      <c r="B160" s="34">
        <v>169.356442511404</v>
      </c>
      <c r="C160" s="34">
        <v>173.47451609929601</v>
      </c>
      <c r="D160" s="34">
        <v>176.772351016198</v>
      </c>
      <c r="E160" s="34">
        <v>160.36954111662399</v>
      </c>
      <c r="F160" s="34">
        <v>161.785041632679</v>
      </c>
      <c r="G160" s="34">
        <v>168.66778231265101</v>
      </c>
      <c r="H160" s="34">
        <v>171.32103543152701</v>
      </c>
      <c r="I160" s="34">
        <v>174.43887288309801</v>
      </c>
      <c r="J160" s="34">
        <v>183.56117987938799</v>
      </c>
      <c r="K160" s="34">
        <v>190.61777705315899</v>
      </c>
      <c r="L160" s="34">
        <v>196.64681444213599</v>
      </c>
      <c r="M160" s="34">
        <v>216.09016418457</v>
      </c>
      <c r="N160" s="34">
        <v>225.37870788574199</v>
      </c>
      <c r="O160" s="34">
        <v>219.31239318847699</v>
      </c>
      <c r="P160" s="34">
        <v>218.68270874023401</v>
      </c>
      <c r="Q160" s="34">
        <v>218.57096862793</v>
      </c>
      <c r="R160" s="34">
        <v>211.35667419433599</v>
      </c>
      <c r="S160" s="34">
        <v>214.50868225097699</v>
      </c>
      <c r="T160" s="34">
        <v>212.53325803780001</v>
      </c>
      <c r="U160" s="34">
        <v>212.83684184670901</v>
      </c>
      <c r="V160" s="34">
        <v>211.42179876394999</v>
      </c>
      <c r="W160" s="34"/>
    </row>
    <row r="161" spans="1:23">
      <c r="A161" s="1" t="s">
        <v>1125</v>
      </c>
      <c r="B161" s="34">
        <v>0.58005698242349701</v>
      </c>
      <c r="C161" s="34">
        <v>0.58910365722421798</v>
      </c>
      <c r="D161" s="34">
        <v>0.58183427587902603</v>
      </c>
      <c r="E161" s="34">
        <v>0.57390033658977102</v>
      </c>
      <c r="F161" s="34">
        <v>0.56625464646052004</v>
      </c>
      <c r="G161" s="34">
        <v>0.57273032484175501</v>
      </c>
      <c r="H161" s="34">
        <v>0.57161489794620701</v>
      </c>
      <c r="I161" s="34">
        <v>0.56811122778484002</v>
      </c>
      <c r="J161" s="34">
        <v>0.57155271406846497</v>
      </c>
      <c r="K161" s="34">
        <v>0.56945472116938201</v>
      </c>
      <c r="L161" s="34">
        <v>0.57247807100529002</v>
      </c>
      <c r="M161" s="34">
        <v>0.57414817409972196</v>
      </c>
      <c r="N161" s="34">
        <v>0.57972991940428598</v>
      </c>
      <c r="O161" s="34">
        <v>0.57747806890979403</v>
      </c>
      <c r="P161" s="34">
        <v>0.58635933738392798</v>
      </c>
      <c r="Q161" s="34">
        <v>0.59969879951117799</v>
      </c>
      <c r="R161" s="34">
        <v>0.58301612981620499</v>
      </c>
      <c r="S161" s="34">
        <v>0.58642412755963902</v>
      </c>
      <c r="T161" s="34">
        <v>0.58672142043296605</v>
      </c>
      <c r="U161" s="34">
        <v>0.58762474914112695</v>
      </c>
      <c r="V161" s="34">
        <v>0.58605221481981395</v>
      </c>
      <c r="W161" s="34"/>
    </row>
    <row r="162" spans="1:23">
      <c r="A162" s="1" t="s">
        <v>1190</v>
      </c>
      <c r="B162" s="34">
        <v>61.461031903148097</v>
      </c>
      <c r="C162" s="34">
        <v>68.787040698692195</v>
      </c>
      <c r="D162" s="34">
        <v>91.149874814940702</v>
      </c>
      <c r="E162" s="34">
        <v>115.188688654732</v>
      </c>
      <c r="F162" s="34">
        <v>124.19588897920799</v>
      </c>
      <c r="G162" s="34">
        <v>134.913868186526</v>
      </c>
      <c r="H162" s="34">
        <v>157.62245673574901</v>
      </c>
      <c r="I162" s="34">
        <v>188.180507488215</v>
      </c>
      <c r="J162" s="34">
        <v>217.381164574569</v>
      </c>
      <c r="K162" s="34">
        <v>234.63900087171299</v>
      </c>
      <c r="L162" s="34">
        <v>245.912552699965</v>
      </c>
      <c r="M162" s="34">
        <v>261.783935546875</v>
      </c>
      <c r="N162" s="34">
        <v>267.49615478515602</v>
      </c>
      <c r="O162" s="34">
        <v>278.55938720703102</v>
      </c>
      <c r="P162" s="34">
        <v>294.00662231445301</v>
      </c>
      <c r="Q162" s="34">
        <v>318.97854614257801</v>
      </c>
      <c r="R162" s="34">
        <v>347.07058715820301</v>
      </c>
      <c r="S162" s="34">
        <v>366.71325683593801</v>
      </c>
      <c r="T162" s="34">
        <v>377.61670611236502</v>
      </c>
      <c r="U162" s="34">
        <v>394.23748197079698</v>
      </c>
      <c r="V162" s="34">
        <v>409.24188264698199</v>
      </c>
      <c r="W162" s="34"/>
    </row>
    <row r="163" spans="1:23">
      <c r="A163" s="1" t="s">
        <v>1239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</row>
    <row r="164" spans="1:23">
      <c r="A164" s="1" t="s">
        <v>1128</v>
      </c>
      <c r="B164" s="34">
        <v>0.29351762634149597</v>
      </c>
      <c r="C164" s="34">
        <v>0.314943461200974</v>
      </c>
      <c r="D164" s="34">
        <v>0.314170969592656</v>
      </c>
      <c r="E164" s="34">
        <v>0.33598965602167302</v>
      </c>
      <c r="F164" s="34">
        <v>0.34714104815979702</v>
      </c>
      <c r="G164" s="34">
        <v>0.35541061733854101</v>
      </c>
      <c r="H164" s="34">
        <v>0.33729811788643699</v>
      </c>
      <c r="I164" s="34">
        <v>0.35044884295628398</v>
      </c>
      <c r="J164" s="34">
        <v>0.36405294683591399</v>
      </c>
      <c r="K164" s="34">
        <v>0.37184135421228298</v>
      </c>
      <c r="L164" s="34">
        <v>0.36998509055407103</v>
      </c>
      <c r="M164" s="34">
        <v>0.36380103314871798</v>
      </c>
      <c r="N164" s="34">
        <v>0.36976958933861298</v>
      </c>
      <c r="O164" s="34">
        <v>0.36400559819934197</v>
      </c>
      <c r="P164" s="34">
        <v>0.36178565287171799</v>
      </c>
      <c r="Q164" s="34">
        <v>0.35963841564229698</v>
      </c>
      <c r="R164" s="34">
        <v>0.34914143272762599</v>
      </c>
      <c r="S164" s="34">
        <v>0.35095449988326299</v>
      </c>
      <c r="T164" s="34">
        <v>0.34835467419022298</v>
      </c>
      <c r="U164" s="34">
        <v>0.34495322970169101</v>
      </c>
      <c r="V164" s="34">
        <v>0.337010778411103</v>
      </c>
      <c r="W164" s="34"/>
    </row>
    <row r="165" spans="1:23">
      <c r="A165" s="1" t="s">
        <v>307</v>
      </c>
      <c r="B165" s="34">
        <v>136.91095019149799</v>
      </c>
      <c r="C165" s="34">
        <v>147.97052888015199</v>
      </c>
      <c r="D165" s="34">
        <v>154.94492740058399</v>
      </c>
      <c r="E165" s="34">
        <v>167.691784300309</v>
      </c>
      <c r="F165" s="34">
        <v>190.55195050325401</v>
      </c>
      <c r="G165" s="34">
        <v>221.936716829294</v>
      </c>
      <c r="H165" s="34">
        <v>262.781140725098</v>
      </c>
      <c r="I165" s="34">
        <v>285.665063108884</v>
      </c>
      <c r="J165" s="34">
        <v>340.31704433681</v>
      </c>
      <c r="K165" s="34">
        <v>343.91181664420799</v>
      </c>
      <c r="L165" s="34">
        <v>473.137003092643</v>
      </c>
      <c r="M165" s="34">
        <v>533.52697753906295</v>
      </c>
      <c r="N165" s="34">
        <v>577.66015625</v>
      </c>
      <c r="O165" s="34">
        <v>630.67980957031295</v>
      </c>
      <c r="P165" s="34">
        <v>683.76745605468795</v>
      </c>
      <c r="Q165" s="34">
        <v>717.072265625</v>
      </c>
      <c r="R165" s="34">
        <v>729.22277832031295</v>
      </c>
      <c r="S165" s="34">
        <v>791.43603515625</v>
      </c>
      <c r="T165" s="34">
        <v>834.40530398361705</v>
      </c>
      <c r="U165" s="34">
        <v>901.520473730601</v>
      </c>
      <c r="V165" s="34">
        <v>923.80363231112904</v>
      </c>
      <c r="W165" s="34"/>
    </row>
    <row r="166" spans="1:23">
      <c r="A166" s="1" t="s">
        <v>1191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</row>
    <row r="167" spans="1:23">
      <c r="A167" s="1" t="s">
        <v>1074</v>
      </c>
      <c r="B167" s="34">
        <v>10.1669327999182</v>
      </c>
      <c r="C167" s="34">
        <v>11.517836405325999</v>
      </c>
      <c r="D167" s="34">
        <v>12.4770014022601</v>
      </c>
      <c r="E167" s="34">
        <v>12.78181142046</v>
      </c>
      <c r="F167" s="34">
        <v>13.257955568797</v>
      </c>
      <c r="G167" s="34">
        <v>13.782080178857701</v>
      </c>
      <c r="H167" s="34">
        <v>14.4305979183045</v>
      </c>
      <c r="I167" s="34">
        <v>15.1127077077078</v>
      </c>
      <c r="J167" s="34">
        <v>15.6073934689925</v>
      </c>
      <c r="K167" s="34">
        <v>15.6547384559485</v>
      </c>
      <c r="L167" s="34">
        <v>16.712162552441999</v>
      </c>
      <c r="M167" s="34">
        <v>16.893541336059599</v>
      </c>
      <c r="N167" s="34">
        <v>18.019264221191399</v>
      </c>
      <c r="O167" s="34">
        <v>18.425573348998999</v>
      </c>
      <c r="P167" s="34">
        <v>18.5511798858643</v>
      </c>
      <c r="Q167" s="34">
        <v>18.264247894287099</v>
      </c>
      <c r="R167" s="34">
        <v>19.8335285186768</v>
      </c>
      <c r="S167" s="34">
        <v>22.855552673339801</v>
      </c>
      <c r="T167" s="34">
        <v>22.989512722609302</v>
      </c>
      <c r="U167" s="34">
        <v>23.7282109292012</v>
      </c>
      <c r="V167" s="34">
        <v>24.031780497421199</v>
      </c>
      <c r="W167" s="34"/>
    </row>
    <row r="168" spans="1:23">
      <c r="A168" s="1" t="s">
        <v>1068</v>
      </c>
      <c r="B168" s="34">
        <v>5.1591698847302796</v>
      </c>
      <c r="C168" s="34">
        <v>5.3425893457687996</v>
      </c>
      <c r="D168" s="34">
        <v>5.6125557275955202</v>
      </c>
      <c r="E168" s="34">
        <v>5.7573856383837301</v>
      </c>
      <c r="F168" s="34">
        <v>6.2196556977456501</v>
      </c>
      <c r="G168" s="34">
        <v>6.9115187757193404</v>
      </c>
      <c r="H168" s="34">
        <v>7.6538054160855804</v>
      </c>
      <c r="I168" s="34">
        <v>8.1166211511827608</v>
      </c>
      <c r="J168" s="34">
        <v>8.8149614037544897</v>
      </c>
      <c r="K168" s="34">
        <v>8.7168689752071096</v>
      </c>
      <c r="L168" s="34">
        <v>10.541657002796301</v>
      </c>
      <c r="M168" s="34">
        <v>11.9681709289551</v>
      </c>
      <c r="N168" s="34">
        <v>12.154086303710899</v>
      </c>
      <c r="O168" s="34">
        <v>12.041706085205099</v>
      </c>
      <c r="P168" s="34">
        <v>11.820645904540999</v>
      </c>
      <c r="Q168" s="34">
        <v>11.7810821533203</v>
      </c>
      <c r="R168" s="34">
        <v>11.521932983398401</v>
      </c>
      <c r="S168" s="34">
        <v>11.1257583618164</v>
      </c>
      <c r="T168" s="34">
        <v>11.202027141579</v>
      </c>
      <c r="U168" s="34">
        <v>11.483524682621301</v>
      </c>
      <c r="V168" s="34">
        <v>11.746393304886199</v>
      </c>
      <c r="W168" s="34"/>
    </row>
    <row r="169" spans="1:23">
      <c r="A169" s="1" t="s">
        <v>1069</v>
      </c>
      <c r="B169" s="34">
        <v>11.424814285588999</v>
      </c>
      <c r="C169" s="34">
        <v>11.876312103377799</v>
      </c>
      <c r="D169" s="34">
        <v>12.4185024284657</v>
      </c>
      <c r="E169" s="34">
        <v>12.877668181295901</v>
      </c>
      <c r="F169" s="34">
        <v>13.3984867988621</v>
      </c>
      <c r="G169" s="34">
        <v>13.5067450876957</v>
      </c>
      <c r="H169" s="34">
        <v>14.557763415594</v>
      </c>
      <c r="I169" s="34">
        <v>15.3547956622594</v>
      </c>
      <c r="J169" s="34">
        <v>15.9183429865595</v>
      </c>
      <c r="K169" s="34">
        <v>15.694557595986099</v>
      </c>
      <c r="L169" s="34">
        <v>15.6885333416298</v>
      </c>
      <c r="M169" s="34">
        <v>15.8533592224121</v>
      </c>
      <c r="N169" s="34">
        <v>16.458938598632798</v>
      </c>
      <c r="O169" s="34">
        <v>16.5601921081543</v>
      </c>
      <c r="P169" s="34">
        <v>16.817884445190401</v>
      </c>
      <c r="Q169" s="34">
        <v>16.882137298583999</v>
      </c>
      <c r="R169" s="34">
        <v>16.622360229492202</v>
      </c>
      <c r="S169" s="34">
        <v>16.8822021484375</v>
      </c>
      <c r="T169" s="34">
        <v>16.724970172161601</v>
      </c>
      <c r="U169" s="34">
        <v>16.514527679341899</v>
      </c>
      <c r="V169" s="34">
        <v>16.535339883342498</v>
      </c>
      <c r="W169" s="34"/>
    </row>
    <row r="170" spans="1:23">
      <c r="A170" s="1" t="s">
        <v>1063</v>
      </c>
      <c r="B170" s="34">
        <v>17.941320776198602</v>
      </c>
      <c r="C170" s="34">
        <v>22.054579095984</v>
      </c>
      <c r="D170" s="34">
        <v>35.207827787239097</v>
      </c>
      <c r="E170" s="34">
        <v>38.1421272312109</v>
      </c>
      <c r="F170" s="34">
        <v>42.656542187920202</v>
      </c>
      <c r="G170" s="34">
        <v>45.811383864464801</v>
      </c>
      <c r="H170" s="34">
        <v>53.344352414398998</v>
      </c>
      <c r="I170" s="34">
        <v>54.078619706734301</v>
      </c>
      <c r="J170" s="34">
        <v>59.393661608688298</v>
      </c>
      <c r="K170" s="34">
        <v>63.600794818671901</v>
      </c>
      <c r="L170" s="34">
        <v>70.492364685104107</v>
      </c>
      <c r="M170" s="34">
        <v>78.769287109375</v>
      </c>
      <c r="N170" s="34">
        <v>94.331245422363295</v>
      </c>
      <c r="O170" s="34">
        <v>114.54124450683599</v>
      </c>
      <c r="P170" s="34">
        <v>146.20370483398401</v>
      </c>
      <c r="Q170" s="34">
        <v>186.61488342285199</v>
      </c>
      <c r="R170" s="34">
        <v>221.197341918945</v>
      </c>
      <c r="S170" s="34">
        <v>251.07423400878901</v>
      </c>
      <c r="T170" s="34">
        <v>260.21509454768199</v>
      </c>
      <c r="U170" s="34">
        <v>275.40895534887801</v>
      </c>
      <c r="V170" s="34">
        <v>299.895002012254</v>
      </c>
      <c r="W170" s="34"/>
    </row>
    <row r="171" spans="1:23">
      <c r="A171" s="1" t="s">
        <v>214</v>
      </c>
      <c r="B171" s="34">
        <v>1.1899412192386301</v>
      </c>
      <c r="C171" s="34">
        <v>1.1459815986908499</v>
      </c>
      <c r="D171" s="34">
        <v>1.1634352362273299</v>
      </c>
      <c r="E171" s="34">
        <v>1.1799042387347001</v>
      </c>
      <c r="F171" s="34">
        <v>1.2180164329168199</v>
      </c>
      <c r="G171" s="34">
        <v>1.2859088724877299</v>
      </c>
      <c r="H171" s="34">
        <v>1.29782518024416</v>
      </c>
      <c r="I171" s="34">
        <v>1.3255677763043101</v>
      </c>
      <c r="J171" s="34">
        <v>1.4353600489404601</v>
      </c>
      <c r="K171" s="34">
        <v>1.3391414371678501</v>
      </c>
      <c r="L171" s="34">
        <v>1.41990928162038</v>
      </c>
      <c r="M171" s="34">
        <v>1.4661344289779701</v>
      </c>
      <c r="N171" s="34">
        <v>1.4536314010620099</v>
      </c>
      <c r="O171" s="34">
        <v>1.4722597599029501</v>
      </c>
      <c r="P171" s="34">
        <v>1.50547206401825</v>
      </c>
      <c r="Q171" s="34">
        <v>1.5676306486129801</v>
      </c>
      <c r="R171" s="34">
        <v>1.5942581892013501</v>
      </c>
      <c r="S171" s="34">
        <v>1.6547869443893399</v>
      </c>
      <c r="T171" s="34">
        <v>1.6260829372126799</v>
      </c>
      <c r="U171" s="34">
        <v>1.59875169692803</v>
      </c>
      <c r="V171" s="34">
        <v>1.5674258162982</v>
      </c>
      <c r="W171" s="34"/>
    </row>
    <row r="172" spans="1:23">
      <c r="A172" s="1" t="s">
        <v>1192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 spans="1:23">
      <c r="A173" s="1" t="s">
        <v>1076</v>
      </c>
      <c r="B173" s="34">
        <v>2.9153679274133601</v>
      </c>
      <c r="C173" s="34">
        <v>3.1724143399366</v>
      </c>
      <c r="D173" s="34">
        <v>3.4354296786454799</v>
      </c>
      <c r="E173" s="34">
        <v>3.4156655349728799</v>
      </c>
      <c r="F173" s="34">
        <v>3.3939805897936699</v>
      </c>
      <c r="G173" s="34">
        <v>3.4757119681880599</v>
      </c>
      <c r="H173" s="34">
        <v>3.6909617415537901</v>
      </c>
      <c r="I173" s="34">
        <v>3.92819812088208</v>
      </c>
      <c r="J173" s="34">
        <v>4.2756177212872002</v>
      </c>
      <c r="K173" s="34">
        <v>4.5379813575308603</v>
      </c>
      <c r="L173" s="34">
        <v>4.6528446393567302</v>
      </c>
      <c r="M173" s="34">
        <v>4.7315082550048801</v>
      </c>
      <c r="N173" s="34">
        <v>5.2124400138854998</v>
      </c>
      <c r="O173" s="34">
        <v>5.4001631736755398</v>
      </c>
      <c r="P173" s="34">
        <v>5.6662178039550799</v>
      </c>
      <c r="Q173" s="34">
        <v>5.9320945739746103</v>
      </c>
      <c r="R173" s="34">
        <v>6.4141111373901403</v>
      </c>
      <c r="S173" s="34">
        <v>7.0205979347229004</v>
      </c>
      <c r="T173" s="34">
        <v>7.1596033123345997</v>
      </c>
      <c r="U173" s="34">
        <v>7.0771313685838697</v>
      </c>
      <c r="V173" s="34">
        <v>7.3998780559088599</v>
      </c>
      <c r="W173" s="34"/>
    </row>
    <row r="174" spans="1:23">
      <c r="A174" s="1" t="s">
        <v>1193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</row>
    <row r="175" spans="1:23">
      <c r="A175" s="1" t="s">
        <v>1079</v>
      </c>
      <c r="B175" s="34">
        <v>180.80824667990601</v>
      </c>
      <c r="C175" s="34">
        <v>185.79600130758001</v>
      </c>
      <c r="D175" s="34">
        <v>187.60772581985299</v>
      </c>
      <c r="E175" s="34">
        <v>183.84003570995799</v>
      </c>
      <c r="F175" s="34">
        <v>179.71313135532799</v>
      </c>
      <c r="G175" s="34">
        <v>189.24638036701799</v>
      </c>
      <c r="H175" s="34">
        <v>186.43594685463199</v>
      </c>
      <c r="I175" s="34">
        <v>194.33444728584499</v>
      </c>
      <c r="J175" s="34">
        <v>209.93529044250499</v>
      </c>
      <c r="K175" s="34">
        <v>217.07681996055501</v>
      </c>
      <c r="L175" s="34">
        <v>222.03309102743501</v>
      </c>
      <c r="M175" s="34">
        <v>226.12777709960901</v>
      </c>
      <c r="N175" s="34">
        <v>233.42677307128901</v>
      </c>
      <c r="O175" s="34">
        <v>242.08447265625</v>
      </c>
      <c r="P175" s="34">
        <v>243.99969482421901</v>
      </c>
      <c r="Q175" s="34">
        <v>249.92111206054699</v>
      </c>
      <c r="R175" s="34">
        <v>257.01895141601602</v>
      </c>
      <c r="S175" s="34">
        <v>258.46008300781301</v>
      </c>
      <c r="T175" s="34">
        <v>257.89169523951199</v>
      </c>
      <c r="U175" s="34">
        <v>254.399513645121</v>
      </c>
      <c r="V175" s="34">
        <v>253.631411632946</v>
      </c>
      <c r="W175" s="34"/>
    </row>
    <row r="176" spans="1:23">
      <c r="A176" s="1" t="s">
        <v>1080</v>
      </c>
      <c r="B176" s="34">
        <v>23.301021356644601</v>
      </c>
      <c r="C176" s="34">
        <v>25.098428185855301</v>
      </c>
      <c r="D176" s="34">
        <v>29.92315455388</v>
      </c>
      <c r="E176" s="34">
        <v>32.257858368831798</v>
      </c>
      <c r="F176" s="34">
        <v>37.923189838506097</v>
      </c>
      <c r="G176" s="34">
        <v>44.081064755288899</v>
      </c>
      <c r="H176" s="34">
        <v>52.9969421307555</v>
      </c>
      <c r="I176" s="34">
        <v>55.2747485454721</v>
      </c>
      <c r="J176" s="34">
        <v>58.5150800295037</v>
      </c>
      <c r="K176" s="34">
        <v>58.470799203488902</v>
      </c>
      <c r="L176" s="34">
        <v>73.258537836973005</v>
      </c>
      <c r="M176" s="34">
        <v>78.776527404785199</v>
      </c>
      <c r="N176" s="34">
        <v>86.8260498046875</v>
      </c>
      <c r="O176" s="34">
        <v>90.261184692382798</v>
      </c>
      <c r="P176" s="34">
        <v>92.782028198242202</v>
      </c>
      <c r="Q176" s="34">
        <v>96.8323974609375</v>
      </c>
      <c r="R176" s="34">
        <v>105.373916625977</v>
      </c>
      <c r="S176" s="34">
        <v>115.977828979492</v>
      </c>
      <c r="T176" s="34">
        <v>124.843143623728</v>
      </c>
      <c r="U176" s="34">
        <v>135.39089577020499</v>
      </c>
      <c r="V176" s="34">
        <v>144.27906574906501</v>
      </c>
      <c r="W176" s="34"/>
    </row>
    <row r="177" spans="1:23">
      <c r="A177" s="1" t="s">
        <v>1078</v>
      </c>
      <c r="B177" s="34">
        <v>4.5936476496718797</v>
      </c>
      <c r="C177" s="34">
        <v>4.8205616522115804</v>
      </c>
      <c r="D177" s="34">
        <v>4.8996508871227302</v>
      </c>
      <c r="E177" s="34">
        <v>5.0667604923408396</v>
      </c>
      <c r="F177" s="34">
        <v>5.3804937348113997</v>
      </c>
      <c r="G177" s="34">
        <v>5.7328181374245597</v>
      </c>
      <c r="H177" s="34">
        <v>6.0022314205008103</v>
      </c>
      <c r="I177" s="34">
        <v>6.4106776199829998</v>
      </c>
      <c r="J177" s="34">
        <v>7.3070301571458804</v>
      </c>
      <c r="K177" s="34">
        <v>7.6894990777601704</v>
      </c>
      <c r="L177" s="34">
        <v>8.0674384298803208</v>
      </c>
      <c r="M177" s="34">
        <v>8.7095584869384801</v>
      </c>
      <c r="N177" s="34">
        <v>9.3616819381713903</v>
      </c>
      <c r="O177" s="34">
        <v>9.7149305343627894</v>
      </c>
      <c r="P177" s="34">
        <v>10.159691810607899</v>
      </c>
      <c r="Q177" s="34">
        <v>10.554167747497599</v>
      </c>
      <c r="R177" s="34">
        <v>10.5936603546143</v>
      </c>
      <c r="S177" s="34">
        <v>10.8068704605103</v>
      </c>
      <c r="T177" s="34">
        <v>10.8340977520888</v>
      </c>
      <c r="U177" s="34">
        <v>11.230753900541499</v>
      </c>
      <c r="V177" s="34">
        <v>11.747565543867101</v>
      </c>
      <c r="W177" s="34"/>
    </row>
    <row r="178" spans="1:23">
      <c r="A178" s="1" t="s">
        <v>1129</v>
      </c>
      <c r="B178" s="34">
        <v>0.89054999999999995</v>
      </c>
      <c r="C178" s="34">
        <v>0.90508500000000003</v>
      </c>
      <c r="D178" s="34">
        <v>0.90086299999999997</v>
      </c>
      <c r="E178" s="34">
        <v>0.92550299999999996</v>
      </c>
      <c r="F178" s="34">
        <v>0.90779299999999996</v>
      </c>
      <c r="G178" s="34">
        <v>0.89713900000000002</v>
      </c>
      <c r="H178" s="34">
        <v>0.87191600000000002</v>
      </c>
      <c r="I178" s="34">
        <v>0.86019999999999996</v>
      </c>
      <c r="J178" s="34">
        <v>0.84777499999999995</v>
      </c>
      <c r="K178" s="34">
        <v>0.84834399999999999</v>
      </c>
      <c r="L178" s="34">
        <v>0.85404599999999997</v>
      </c>
      <c r="M178" s="34">
        <v>0.83606499999999995</v>
      </c>
      <c r="N178" s="34">
        <v>0.82440800000000003</v>
      </c>
      <c r="O178" s="34">
        <v>0.79816600000000004</v>
      </c>
      <c r="P178" s="34">
        <v>0.80879800000000002</v>
      </c>
      <c r="Q178" s="34">
        <v>0.80997799999999998</v>
      </c>
      <c r="R178" s="34">
        <v>0.79544800000000004</v>
      </c>
      <c r="S178" s="34">
        <v>0.78215000000000001</v>
      </c>
      <c r="T178" s="34">
        <v>0.77674699999999997</v>
      </c>
      <c r="U178" s="34">
        <v>0.79444700000000001</v>
      </c>
      <c r="V178" s="34">
        <v>0.77400800000000003</v>
      </c>
      <c r="W178" s="34">
        <v>0.75790599999999997</v>
      </c>
    </row>
    <row r="179" spans="1:23">
      <c r="A179" s="1" t="s">
        <v>1131</v>
      </c>
      <c r="B179" s="34">
        <v>9.0865570000000009</v>
      </c>
      <c r="C179" s="34">
        <v>9.1770390000000006</v>
      </c>
      <c r="D179" s="34">
        <v>9.0567299999999999</v>
      </c>
      <c r="E179" s="34">
        <v>9.1974850000000004</v>
      </c>
      <c r="F179" s="34">
        <v>9.1256509999999995</v>
      </c>
      <c r="G179" s="34">
        <v>9.0052040000000009</v>
      </c>
      <c r="H179" s="34">
        <v>8.7801179999999999</v>
      </c>
      <c r="I179" s="34">
        <v>8.9229420000000008</v>
      </c>
      <c r="J179" s="34">
        <v>8.8592809999999993</v>
      </c>
      <c r="K179" s="34">
        <v>9.0839130000000008</v>
      </c>
      <c r="L179" s="34">
        <v>9.1512270000000004</v>
      </c>
      <c r="M179" s="34">
        <v>9.0827360000000006</v>
      </c>
      <c r="N179" s="34">
        <v>9.0370849999999994</v>
      </c>
      <c r="O179" s="34">
        <v>9.0293489999999998</v>
      </c>
      <c r="P179" s="34">
        <v>9.2784580000000005</v>
      </c>
      <c r="Q179" s="34">
        <v>9.9325159999999997</v>
      </c>
      <c r="R179" s="34">
        <v>10.0419</v>
      </c>
      <c r="S179" s="34">
        <v>9.7498299999999993</v>
      </c>
      <c r="T179" s="34">
        <v>9.5839990000000004</v>
      </c>
      <c r="U179" s="34">
        <v>9.9751820000000002</v>
      </c>
      <c r="V179" s="34">
        <v>10.119987</v>
      </c>
      <c r="W179" s="34">
        <v>11.194525000000001</v>
      </c>
    </row>
    <row r="180" spans="1:23">
      <c r="A180" s="1" t="s">
        <v>1077</v>
      </c>
      <c r="B180" s="34">
        <v>12.5630060589405</v>
      </c>
      <c r="C180" s="34">
        <v>12.712869650631299</v>
      </c>
      <c r="D180" s="34">
        <v>13.0073574384348</v>
      </c>
      <c r="E180" s="34">
        <v>13.1622867828351</v>
      </c>
      <c r="F180" s="34">
        <v>13.3512401670312</v>
      </c>
      <c r="G180" s="34">
        <v>13.7402536963404</v>
      </c>
      <c r="H180" s="34">
        <v>14.3182424468727</v>
      </c>
      <c r="I180" s="34">
        <v>15.0038544152399</v>
      </c>
      <c r="J180" s="34">
        <v>15.5446846178668</v>
      </c>
      <c r="K180" s="34">
        <v>17.8812665443211</v>
      </c>
      <c r="L180" s="34">
        <v>20.352571458604501</v>
      </c>
      <c r="M180" s="34">
        <v>25.254611968994102</v>
      </c>
      <c r="N180" s="34">
        <v>26.004440307617202</v>
      </c>
      <c r="O180" s="34">
        <v>26.799869537353501</v>
      </c>
      <c r="P180" s="34">
        <v>28.152746200561499</v>
      </c>
      <c r="Q180" s="34">
        <v>29.9425354003906</v>
      </c>
      <c r="R180" s="34">
        <v>31.9988098144531</v>
      </c>
      <c r="S180" s="34">
        <v>31.234983444213899</v>
      </c>
      <c r="T180" s="34">
        <v>31.831272279629001</v>
      </c>
      <c r="U180" s="34">
        <v>32.740067087247198</v>
      </c>
      <c r="V180" s="34">
        <v>33.517695149922503</v>
      </c>
      <c r="W180" s="34"/>
    </row>
    <row r="181" spans="1:23">
      <c r="A181" s="1" t="s">
        <v>1194</v>
      </c>
      <c r="B181" s="34"/>
      <c r="C181" s="34"/>
      <c r="D181" s="34"/>
      <c r="E181" s="34"/>
      <c r="F181" s="34">
        <v>1.03512141243235</v>
      </c>
      <c r="G181" s="34">
        <v>0.96620755128343505</v>
      </c>
      <c r="H181" s="34">
        <v>0.79619597302829603</v>
      </c>
      <c r="I181" s="34">
        <v>0.74738646971348999</v>
      </c>
      <c r="J181" s="34">
        <v>0.86872007348342495</v>
      </c>
      <c r="K181" s="34">
        <v>1.12900266832653</v>
      </c>
      <c r="L181" s="34">
        <v>0.90395877678365699</v>
      </c>
      <c r="M181" s="34">
        <v>0.998753796315207</v>
      </c>
      <c r="N181" s="34">
        <v>1.2345760316785399</v>
      </c>
      <c r="O181" s="34">
        <v>0.94868476773310095</v>
      </c>
      <c r="P181" s="34">
        <v>0.87395727779362198</v>
      </c>
      <c r="Q181" s="34">
        <v>0.76156540949598295</v>
      </c>
      <c r="R181" s="34">
        <v>0.95856460401591703</v>
      </c>
      <c r="S181" s="34">
        <v>1.0565376986869399</v>
      </c>
      <c r="T181" s="34">
        <v>1.07306853477025</v>
      </c>
      <c r="U181" s="34">
        <v>1.09378292217275</v>
      </c>
      <c r="V181" s="34">
        <v>1.1006592969561899</v>
      </c>
      <c r="W181" s="34"/>
    </row>
    <row r="182" spans="1:23">
      <c r="A182" s="1" t="s">
        <v>1130</v>
      </c>
      <c r="B182" s="50">
        <v>1.4439580000000001</v>
      </c>
      <c r="C182" s="50">
        <v>1.473589</v>
      </c>
      <c r="D182" s="50">
        <v>1.4689620000000001</v>
      </c>
      <c r="E182" s="50">
        <v>1.496707</v>
      </c>
      <c r="F182" s="50">
        <v>1.507009</v>
      </c>
      <c r="G182" s="50">
        <v>1.5349999999999999</v>
      </c>
      <c r="H182" s="50">
        <v>1.4809319999999999</v>
      </c>
      <c r="I182" s="50">
        <v>1.504794</v>
      </c>
      <c r="J182" s="50">
        <v>1.4907090000000001</v>
      </c>
      <c r="K182" s="50">
        <v>1.471921</v>
      </c>
      <c r="L182" s="50">
        <v>1.496928</v>
      </c>
      <c r="M182" s="50">
        <v>1.4859150000000001</v>
      </c>
      <c r="N182" s="50">
        <v>1.495622</v>
      </c>
      <c r="O182" s="50">
        <v>1.4459789999999999</v>
      </c>
      <c r="P182" s="50">
        <v>1.4407300000000001</v>
      </c>
      <c r="Q182" s="50">
        <v>1.4780139999999999</v>
      </c>
      <c r="R182" s="50">
        <v>1.4410080000000001</v>
      </c>
      <c r="S182" s="50">
        <v>1.4309590000000001</v>
      </c>
      <c r="T182" s="50">
        <v>1.4700599999999999</v>
      </c>
      <c r="U182" s="50">
        <v>1.4282589999999999</v>
      </c>
      <c r="V182" s="50">
        <v>1.4363509999999999</v>
      </c>
      <c r="W182" s="50">
        <v>1.431543</v>
      </c>
    </row>
    <row r="183" spans="1:23">
      <c r="A183" s="1" t="s">
        <v>1241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</row>
    <row r="184" spans="1:23">
      <c r="A184" s="1" t="s">
        <v>1132</v>
      </c>
      <c r="B184" s="34">
        <v>9.2208037107066501E-2</v>
      </c>
      <c r="C184" s="34">
        <v>8.6112207435405499E-2</v>
      </c>
      <c r="D184" s="34">
        <v>8.8758770677527896E-2</v>
      </c>
      <c r="E184" s="34">
        <v>9.6156590925011096E-2</v>
      </c>
      <c r="F184" s="34">
        <v>0.10581574976616499</v>
      </c>
      <c r="G184" s="34">
        <v>0.12567224094666399</v>
      </c>
      <c r="H184" s="34">
        <v>0.13860700362775999</v>
      </c>
      <c r="I184" s="34">
        <v>0.14613602183417601</v>
      </c>
      <c r="J184" s="34">
        <v>0.19172914781660599</v>
      </c>
      <c r="K184" s="34">
        <v>0.14246510301519899</v>
      </c>
      <c r="L184" s="34">
        <v>0.16284240604304401</v>
      </c>
      <c r="M184" s="34">
        <v>0.184847801923752</v>
      </c>
      <c r="N184" s="34">
        <v>0.18895140290260301</v>
      </c>
      <c r="O184" s="34">
        <v>0.190663322806358</v>
      </c>
      <c r="P184" s="34">
        <v>0.19944606721401201</v>
      </c>
      <c r="Q184" s="34">
        <v>0.19808240234851801</v>
      </c>
      <c r="R184" s="34">
        <v>0.19432105123996701</v>
      </c>
      <c r="S184" s="34">
        <v>0.200041279196739</v>
      </c>
      <c r="T184" s="34">
        <v>0.21827008782419299</v>
      </c>
      <c r="U184" s="34">
        <v>0.20872564980566999</v>
      </c>
      <c r="V184" s="34">
        <v>0.178971015846109</v>
      </c>
      <c r="W184" s="34"/>
    </row>
    <row r="185" spans="1:23">
      <c r="A185" s="1" t="s">
        <v>1242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 spans="1:23">
      <c r="A186" s="1" t="s">
        <v>1081</v>
      </c>
      <c r="B186" s="34">
        <v>11.192215272299499</v>
      </c>
      <c r="C186" s="34">
        <v>11.533611887333</v>
      </c>
      <c r="D186" s="34">
        <v>11.7774110775523</v>
      </c>
      <c r="E186" s="34">
        <v>11.939463157181301</v>
      </c>
      <c r="F186" s="34">
        <v>12.478744562832899</v>
      </c>
      <c r="G186" s="34">
        <v>13.050532091106801</v>
      </c>
      <c r="H186" s="34">
        <v>13.992221072660501</v>
      </c>
      <c r="I186" s="34">
        <v>14.6173958914541</v>
      </c>
      <c r="J186" s="34">
        <v>16.231749377182101</v>
      </c>
      <c r="K186" s="34">
        <v>19.438100075548299</v>
      </c>
      <c r="L186" s="34">
        <v>21.298993837906998</v>
      </c>
      <c r="M186" s="34">
        <v>24.9616813659668</v>
      </c>
      <c r="N186" s="34">
        <v>26.635309219360401</v>
      </c>
      <c r="O186" s="34">
        <v>28.521720886230501</v>
      </c>
      <c r="P186" s="34">
        <v>30.403480529785199</v>
      </c>
      <c r="Q186" s="34">
        <v>31.467857360839801</v>
      </c>
      <c r="R186" s="34">
        <v>32.377647399902301</v>
      </c>
      <c r="S186" s="34">
        <v>33.588920593261697</v>
      </c>
      <c r="T186" s="34">
        <v>33.608045423432898</v>
      </c>
      <c r="U186" s="34">
        <v>35.917228851201102</v>
      </c>
      <c r="V186" s="34">
        <v>39.088642385420599</v>
      </c>
      <c r="W186" s="34"/>
    </row>
    <row r="187" spans="1:23">
      <c r="A187" s="1" t="s">
        <v>1082</v>
      </c>
      <c r="B187" s="34">
        <v>0.48523516262441702</v>
      </c>
      <c r="C187" s="34">
        <v>0.479702504337228</v>
      </c>
      <c r="D187" s="34">
        <v>0.48012549631402601</v>
      </c>
      <c r="E187" s="34">
        <v>0.47670460601609799</v>
      </c>
      <c r="F187" s="34">
        <v>0.47332885656891599</v>
      </c>
      <c r="G187" s="34">
        <v>0.46705565149082401</v>
      </c>
      <c r="H187" s="34">
        <v>0.46226741885077699</v>
      </c>
      <c r="I187" s="34">
        <v>0.471895124881346</v>
      </c>
      <c r="J187" s="34">
        <v>0.49773539969889402</v>
      </c>
      <c r="K187" s="34">
        <v>0.52593419628110505</v>
      </c>
      <c r="L187" s="34">
        <v>0.533341933825493</v>
      </c>
      <c r="M187" s="34">
        <v>0.55296015739440896</v>
      </c>
      <c r="N187" s="34">
        <v>0.57401180267333995</v>
      </c>
      <c r="O187" s="34">
        <v>0.57132041454315197</v>
      </c>
      <c r="P187" s="34">
        <v>0.55884391069412198</v>
      </c>
      <c r="Q187" s="34">
        <v>0.53833818435668901</v>
      </c>
      <c r="R187" s="34">
        <v>0.51544106006622303</v>
      </c>
      <c r="S187" s="34">
        <v>0.49747046828269997</v>
      </c>
      <c r="T187" s="34">
        <v>0.48907768909292498</v>
      </c>
      <c r="U187" s="34">
        <v>0.48136458236850999</v>
      </c>
      <c r="V187" s="34">
        <v>0.46709016355151001</v>
      </c>
      <c r="W187" s="34"/>
    </row>
    <row r="188" spans="1:23">
      <c r="A188" s="1" t="s">
        <v>404</v>
      </c>
      <c r="B188" s="34">
        <v>1.3532510450592099</v>
      </c>
      <c r="C188" s="34">
        <v>1.3302340076052701</v>
      </c>
      <c r="D188" s="34">
        <v>1.31094809710305</v>
      </c>
      <c r="E188" s="34">
        <v>1.3102611935261399</v>
      </c>
      <c r="F188" s="34">
        <v>1.3560259054653501</v>
      </c>
      <c r="G188" s="34">
        <v>1.3611386060203401</v>
      </c>
      <c r="H188" s="34">
        <v>1.42230878007809</v>
      </c>
      <c r="I188" s="34">
        <v>1.4057484703879599</v>
      </c>
      <c r="J188" s="34">
        <v>1.3941399027499299</v>
      </c>
      <c r="K188" s="34">
        <v>1.41214525551035</v>
      </c>
      <c r="L188" s="34">
        <v>1.4755946635674</v>
      </c>
      <c r="M188" s="34">
        <v>1.5429053306579601</v>
      </c>
      <c r="N188" s="34">
        <v>1.5993064641952499</v>
      </c>
      <c r="O188" s="34">
        <v>1.6161588430404701</v>
      </c>
      <c r="P188" s="34">
        <v>1.6458592414855999</v>
      </c>
      <c r="Q188" s="34">
        <v>1.7140855789184599</v>
      </c>
      <c r="R188" s="34">
        <v>1.74326360225677</v>
      </c>
      <c r="S188" s="34">
        <v>1.7494549751281701</v>
      </c>
      <c r="T188" s="34">
        <v>1.7471704573658799</v>
      </c>
      <c r="U188" s="34">
        <v>1.7505986938321101</v>
      </c>
      <c r="V188" s="34">
        <v>1.8026497447232199</v>
      </c>
      <c r="W188" s="34"/>
    </row>
    <row r="189" spans="1:23">
      <c r="A189" s="1" t="s">
        <v>285</v>
      </c>
      <c r="B189" s="34">
        <v>13.783701887970899</v>
      </c>
      <c r="C189" s="34">
        <v>14.245719881720699</v>
      </c>
      <c r="D189" s="34">
        <v>14.6172589746417</v>
      </c>
      <c r="E189" s="34">
        <v>14.8088466964437</v>
      </c>
      <c r="F189" s="34">
        <v>15.2700967018061</v>
      </c>
      <c r="G189" s="34">
        <v>15.6841438098671</v>
      </c>
      <c r="H189" s="34">
        <v>16.001610920699999</v>
      </c>
      <c r="I189" s="34">
        <v>16.076099388261301</v>
      </c>
      <c r="J189" s="34">
        <v>16.901481247143</v>
      </c>
      <c r="K189" s="34">
        <v>17.232912399556898</v>
      </c>
      <c r="L189" s="34">
        <v>17.778973487945802</v>
      </c>
      <c r="M189" s="34">
        <v>18.097654342651399</v>
      </c>
      <c r="N189" s="34">
        <v>18.068983078002901</v>
      </c>
      <c r="O189" s="34">
        <v>18.425867080688501</v>
      </c>
      <c r="P189" s="34">
        <v>18.876012802123999</v>
      </c>
      <c r="Q189" s="34">
        <v>19.0010089874268</v>
      </c>
      <c r="R189" s="34">
        <v>18.948604583740199</v>
      </c>
      <c r="S189" s="34">
        <v>19.385011672973601</v>
      </c>
      <c r="T189" s="34">
        <v>19.6386183371934</v>
      </c>
      <c r="U189" s="34">
        <v>19.428683056435201</v>
      </c>
      <c r="V189" s="34">
        <v>19.511847849240901</v>
      </c>
      <c r="W189" s="34"/>
    </row>
    <row r="190" spans="1:23">
      <c r="A190" s="1" t="s">
        <v>1133</v>
      </c>
      <c r="B190" s="34">
        <v>0.77754336564380999</v>
      </c>
      <c r="C190" s="34">
        <v>0.76666246329806098</v>
      </c>
      <c r="D190" s="34">
        <v>0.75779242372978295</v>
      </c>
      <c r="E190" s="34">
        <v>0.72561287009313902</v>
      </c>
      <c r="F190" s="34">
        <v>0.722987813934443</v>
      </c>
      <c r="G190" s="34">
        <v>0.77760219563759803</v>
      </c>
      <c r="H190" s="34">
        <v>0.76551347064240205</v>
      </c>
      <c r="I190" s="34">
        <v>0.755465458788524</v>
      </c>
      <c r="J190" s="34">
        <v>0.78410017877238702</v>
      </c>
      <c r="K190" s="34">
        <v>0.78785930688460803</v>
      </c>
      <c r="L190" s="34">
        <v>0.77055862045384904</v>
      </c>
      <c r="M190" s="34">
        <v>0.749237503264511</v>
      </c>
      <c r="N190" s="34">
        <v>0.77991115815568601</v>
      </c>
      <c r="O190" s="34">
        <v>0.82590120776115505</v>
      </c>
      <c r="P190" s="34">
        <v>0.83379547334625803</v>
      </c>
      <c r="Q190" s="34">
        <v>0.89129409438368701</v>
      </c>
      <c r="R190" s="34">
        <v>0.92875477350882396</v>
      </c>
      <c r="S190" s="34">
        <v>0.90149033526445999</v>
      </c>
      <c r="T190" s="34">
        <v>0.87944473010269597</v>
      </c>
      <c r="U190" s="34">
        <v>0.84823945302115</v>
      </c>
      <c r="V190" s="34">
        <v>0.87267965023040805</v>
      </c>
      <c r="W190" s="34"/>
    </row>
    <row r="191" spans="1:23">
      <c r="A191" s="1" t="s">
        <v>1134</v>
      </c>
      <c r="B191" s="34">
        <v>1.2547537561886399</v>
      </c>
      <c r="C191" s="34">
        <v>1.3127129728250999</v>
      </c>
      <c r="D191" s="34">
        <v>1.45109812790377</v>
      </c>
      <c r="E191" s="34">
        <v>1.5035568674488</v>
      </c>
      <c r="F191" s="34">
        <v>1.4349680393328099</v>
      </c>
      <c r="G191" s="34">
        <v>1.5611522941926801</v>
      </c>
      <c r="H191" s="34">
        <v>1.65818983329558</v>
      </c>
      <c r="I191" s="34">
        <v>1.6769378111331801</v>
      </c>
      <c r="J191" s="34">
        <v>1.77263135597444</v>
      </c>
      <c r="K191" s="34">
        <v>1.67338214889921</v>
      </c>
      <c r="L191" s="34">
        <v>1.8181481713649199</v>
      </c>
      <c r="M191" s="34">
        <v>1.85903340416986</v>
      </c>
      <c r="N191" s="34">
        <v>1.8135676870508499</v>
      </c>
      <c r="O191" s="34">
        <v>1.84621958922329</v>
      </c>
      <c r="P191" s="34">
        <v>1.91125095239322</v>
      </c>
      <c r="Q191" s="34">
        <v>1.8699097103012601</v>
      </c>
      <c r="R191" s="34">
        <v>1.89708603066574</v>
      </c>
      <c r="S191" s="34">
        <v>2.0054490313694702</v>
      </c>
      <c r="T191" s="34">
        <v>2.1503065646758199</v>
      </c>
      <c r="U191" s="34">
        <v>2.1350745807803402</v>
      </c>
      <c r="V191" s="34">
        <v>2.2255157902348399</v>
      </c>
      <c r="W191" s="34"/>
    </row>
    <row r="192" spans="1:23">
      <c r="A192" s="1" t="s">
        <v>1135</v>
      </c>
      <c r="B192" s="34">
        <v>1.8331660000000001</v>
      </c>
      <c r="C192" s="34">
        <v>1.8376060000000001</v>
      </c>
      <c r="D192" s="34">
        <v>1.799795</v>
      </c>
      <c r="E192" s="34">
        <v>1.804465</v>
      </c>
      <c r="F192" s="34">
        <v>1.8300449999999999</v>
      </c>
      <c r="G192" s="34">
        <v>1.8675949999999999</v>
      </c>
      <c r="H192" s="34">
        <v>1.8504529999999999</v>
      </c>
      <c r="I192" s="34">
        <v>1.853936</v>
      </c>
      <c r="J192" s="34">
        <v>1.8422430000000001</v>
      </c>
      <c r="K192" s="34">
        <v>1.869157</v>
      </c>
      <c r="L192" s="34">
        <v>1.8048150000000001</v>
      </c>
      <c r="M192" s="34">
        <v>1.8014239999999999</v>
      </c>
      <c r="N192" s="34">
        <v>1.796168</v>
      </c>
      <c r="O192" s="34">
        <v>1.7620450000000001</v>
      </c>
      <c r="P192" s="34">
        <v>1.767142</v>
      </c>
      <c r="Q192" s="34">
        <v>1.7651159999999999</v>
      </c>
      <c r="R192" s="34">
        <v>1.7328429999999999</v>
      </c>
      <c r="S192" s="34">
        <v>1.7428790000000001</v>
      </c>
      <c r="T192" s="34">
        <v>1.748426</v>
      </c>
      <c r="U192" s="34">
        <v>1.787166</v>
      </c>
      <c r="V192" s="34">
        <v>1.7905</v>
      </c>
      <c r="W192" s="34">
        <v>1.8069230000000001</v>
      </c>
    </row>
    <row r="193" spans="1:23">
      <c r="A193" s="1" t="s">
        <v>1245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 spans="1:23">
      <c r="A194" s="1" t="s">
        <v>1137</v>
      </c>
      <c r="B194" s="34">
        <v>0.70519236318396294</v>
      </c>
      <c r="C194" s="34">
        <v>0.72804348500601102</v>
      </c>
      <c r="D194" s="34">
        <v>0.73498131681307499</v>
      </c>
      <c r="E194" s="34">
        <v>0.753456512445564</v>
      </c>
      <c r="F194" s="34">
        <v>0.72422289614524404</v>
      </c>
      <c r="G194" s="34">
        <v>0.74863065899054704</v>
      </c>
      <c r="H194" s="34">
        <v>0.76655441644190103</v>
      </c>
      <c r="I194" s="34">
        <v>0.77473760162249805</v>
      </c>
      <c r="J194" s="34">
        <v>0.80982266428838601</v>
      </c>
      <c r="K194" s="34">
        <v>0.84374027479214098</v>
      </c>
      <c r="L194" s="34">
        <v>0.85482315760877703</v>
      </c>
      <c r="M194" s="34">
        <v>0.85717541246428897</v>
      </c>
      <c r="N194" s="34">
        <v>0.85765760483111197</v>
      </c>
      <c r="O194" s="34">
        <v>0.85953782591803896</v>
      </c>
      <c r="P194" s="34">
        <v>0.86042176680707705</v>
      </c>
      <c r="Q194" s="34">
        <v>0.87498438215726304</v>
      </c>
      <c r="R194" s="34">
        <v>0.89170179934851501</v>
      </c>
      <c r="S194" s="34">
        <v>0.90527827664661698</v>
      </c>
      <c r="T194" s="34">
        <v>0.89983207184085401</v>
      </c>
      <c r="U194" s="34">
        <v>0.90555148889328596</v>
      </c>
      <c r="V194" s="34">
        <v>0.91534729662158998</v>
      </c>
      <c r="W194" s="34"/>
    </row>
    <row r="195" spans="1:23">
      <c r="A195" s="1" t="s">
        <v>1195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</row>
    <row r="196" spans="1:23">
      <c r="A196" s="1" t="s">
        <v>1136</v>
      </c>
      <c r="B196" s="34">
        <v>0.66111600000000004</v>
      </c>
      <c r="C196" s="34">
        <v>0.67105400000000004</v>
      </c>
      <c r="D196" s="34">
        <v>0.67208100000000004</v>
      </c>
      <c r="E196" s="34">
        <v>0.66979699999999998</v>
      </c>
      <c r="F196" s="34">
        <v>0.67614700000000005</v>
      </c>
      <c r="G196" s="34">
        <v>0.66425900000000004</v>
      </c>
      <c r="H196" s="34">
        <v>0.64015599999999995</v>
      </c>
      <c r="I196" s="34">
        <v>0.64681599999999995</v>
      </c>
      <c r="J196" s="34">
        <v>0.63614800000000005</v>
      </c>
      <c r="K196" s="34">
        <v>0.62732900000000003</v>
      </c>
      <c r="L196" s="34">
        <v>0.62312199999999995</v>
      </c>
      <c r="M196" s="34">
        <v>0.62308300000000005</v>
      </c>
      <c r="N196" s="34">
        <v>0.60539799999999999</v>
      </c>
      <c r="O196" s="34">
        <v>0.58360699999999999</v>
      </c>
      <c r="P196" s="34">
        <v>0.57886800000000005</v>
      </c>
      <c r="Q196" s="34">
        <v>0.58494699999999999</v>
      </c>
      <c r="R196" s="34">
        <v>0.57141600000000004</v>
      </c>
      <c r="S196" s="34">
        <v>0.57568799999999998</v>
      </c>
      <c r="T196" s="34">
        <v>0.57122700000000004</v>
      </c>
      <c r="U196" s="34">
        <v>0.57615899999999998</v>
      </c>
      <c r="V196" s="34">
        <v>0.56855299999999998</v>
      </c>
      <c r="W196" s="34">
        <v>0.56425199999999998</v>
      </c>
    </row>
    <row r="197" spans="1:23">
      <c r="A197" s="1" t="s">
        <v>482</v>
      </c>
      <c r="B197" s="34">
        <v>871.61984530457005</v>
      </c>
      <c r="C197" s="34">
        <v>971.77028562913404</v>
      </c>
      <c r="D197" s="34">
        <v>1128.3492567144301</v>
      </c>
      <c r="E197" s="34">
        <v>1275.5421002097</v>
      </c>
      <c r="F197" s="34">
        <v>1389.10492321115</v>
      </c>
      <c r="G197" s="34">
        <v>1521.6351820641801</v>
      </c>
      <c r="H197" s="34">
        <v>1607.7352874998501</v>
      </c>
      <c r="I197" s="34">
        <v>1763.5080263080999</v>
      </c>
      <c r="J197" s="34">
        <v>1941.33111590064</v>
      </c>
      <c r="K197" s="34">
        <v>1996.9266240791801</v>
      </c>
      <c r="L197" s="34">
        <v>2065.82552140501</v>
      </c>
      <c r="M197" s="34">
        <v>2126.669921875</v>
      </c>
      <c r="N197" s="34">
        <v>2288.408203125</v>
      </c>
      <c r="O197" s="34">
        <v>2309.77734375</v>
      </c>
      <c r="P197" s="34">
        <v>2383.45092773438</v>
      </c>
      <c r="Q197" s="34">
        <v>2453.15966796875</v>
      </c>
      <c r="R197" s="34">
        <v>2507.39965820313</v>
      </c>
      <c r="S197" s="34">
        <v>2534.37670898438</v>
      </c>
      <c r="T197" s="34">
        <v>2523.4687740783502</v>
      </c>
      <c r="U197" s="34">
        <v>2553.88228899251</v>
      </c>
      <c r="V197" s="34">
        <v>2591.03944022015</v>
      </c>
      <c r="W197" s="34"/>
    </row>
    <row r="198" spans="1:23">
      <c r="A198" s="1" t="s">
        <v>1196</v>
      </c>
      <c r="B198" s="34">
        <v>0.55568997124252595</v>
      </c>
      <c r="C198" s="34">
        <v>0.55651249390521296</v>
      </c>
      <c r="D198" s="34">
        <v>0.55599805929216894</v>
      </c>
      <c r="E198" s="34">
        <v>0.53425799846607802</v>
      </c>
      <c r="F198" s="34">
        <v>0.49499254129180698</v>
      </c>
      <c r="G198" s="34">
        <v>0.48030946191736201</v>
      </c>
      <c r="H198" s="34">
        <v>0.491344065398028</v>
      </c>
      <c r="I198" s="34">
        <v>0.50131559266507797</v>
      </c>
      <c r="J198" s="34">
        <v>0.57538905543860697</v>
      </c>
      <c r="K198" s="34">
        <v>0.58161553506695396</v>
      </c>
      <c r="L198" s="34">
        <v>0.65078409521543501</v>
      </c>
      <c r="M198" s="34">
        <v>0.67201765050687001</v>
      </c>
      <c r="N198" s="34">
        <v>0.61193669032312403</v>
      </c>
      <c r="O198" s="34">
        <v>0.64711780264122598</v>
      </c>
      <c r="P198" s="34">
        <v>0.608354215297364</v>
      </c>
      <c r="Q198" s="34">
        <v>0.54953545159436201</v>
      </c>
      <c r="R198" s="34">
        <v>0.55945989311000699</v>
      </c>
      <c r="S198" s="34">
        <v>0.56552749456804596</v>
      </c>
      <c r="T198" s="34">
        <v>0.550599844397338</v>
      </c>
      <c r="U198" s="34">
        <v>0.56176663073597899</v>
      </c>
      <c r="V198" s="34">
        <v>0.56937824842331297</v>
      </c>
      <c r="W198" s="34"/>
    </row>
    <row r="199" spans="1:23">
      <c r="A199" s="1" t="s">
        <v>1243</v>
      </c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</row>
    <row r="200" spans="1:23">
      <c r="A200" s="1" t="s">
        <v>1244</v>
      </c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</row>
    <row r="201" spans="1:23">
      <c r="A201" s="1" t="s">
        <v>1212</v>
      </c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</row>
    <row r="202" spans="1:23">
      <c r="A202" s="1" t="s">
        <v>1138</v>
      </c>
      <c r="B202" s="34">
        <v>1.1269339157179501</v>
      </c>
      <c r="C202" s="34">
        <v>1.04813867409901</v>
      </c>
      <c r="D202" s="34">
        <v>1.06286521230772</v>
      </c>
      <c r="E202" s="34">
        <v>1.22272082287128</v>
      </c>
      <c r="F202" s="34">
        <v>1.3467235555122801</v>
      </c>
      <c r="G202" s="34">
        <v>1.7049413483196501</v>
      </c>
      <c r="H202" s="34">
        <v>1.7932349942469901</v>
      </c>
      <c r="I202" s="34">
        <v>1.93789315807731</v>
      </c>
      <c r="J202" s="34">
        <v>2.33621970525222</v>
      </c>
      <c r="K202" s="34">
        <v>1.7570368898090101</v>
      </c>
      <c r="L202" s="34">
        <v>1.8580157520545999</v>
      </c>
      <c r="M202" s="34">
        <v>2.1525144577026398</v>
      </c>
      <c r="N202" s="34">
        <v>2.1864457130432098</v>
      </c>
      <c r="O202" s="34">
        <v>2.2396368980407702</v>
      </c>
      <c r="P202" s="34">
        <v>2.3649780750274698</v>
      </c>
      <c r="Q202" s="34">
        <v>2.4681804180145299</v>
      </c>
      <c r="R202" s="34">
        <v>2.5038185119628902</v>
      </c>
      <c r="S202" s="34">
        <v>2.3459498882293701</v>
      </c>
      <c r="T202" s="34">
        <v>2.57535186204225</v>
      </c>
      <c r="U202" s="34">
        <v>2.4174414000975499</v>
      </c>
      <c r="V202" s="34">
        <v>2.0279566203653099</v>
      </c>
      <c r="W202" s="34"/>
    </row>
    <row r="203" spans="1:23">
      <c r="A203" s="1" t="s">
        <v>1086</v>
      </c>
      <c r="B203" s="34">
        <v>0.616183506661794</v>
      </c>
      <c r="C203" s="34">
        <v>0.81368603168821696</v>
      </c>
      <c r="D203" s="34">
        <v>0.97834603721006497</v>
      </c>
      <c r="E203" s="34">
        <v>1.17667679172482</v>
      </c>
      <c r="F203" s="34">
        <v>1.26874719169969</v>
      </c>
      <c r="G203" s="34">
        <v>1.4012823347335801</v>
      </c>
      <c r="H203" s="34">
        <v>1.39944045272461</v>
      </c>
      <c r="I203" s="34">
        <v>1.4879163738857899</v>
      </c>
      <c r="J203" s="34">
        <v>1.5662300983830399</v>
      </c>
      <c r="K203" s="34">
        <v>1.56721984808903</v>
      </c>
      <c r="L203" s="34">
        <v>1.5376482430315399</v>
      </c>
      <c r="M203" s="34">
        <v>1.5500361527509601</v>
      </c>
      <c r="N203" s="34">
        <v>1.5635937857823501</v>
      </c>
      <c r="O203" s="34">
        <v>1.60622871818549</v>
      </c>
      <c r="P203" s="34">
        <v>1.6283675341052399</v>
      </c>
      <c r="Q203" s="34">
        <v>1.6628711091941599</v>
      </c>
      <c r="R203" s="34">
        <v>1.59692123955867</v>
      </c>
      <c r="S203" s="34">
        <v>1.6135717522969799</v>
      </c>
      <c r="T203" s="34">
        <v>1.6655905810862099</v>
      </c>
      <c r="U203" s="34">
        <v>1.7154256947515201</v>
      </c>
      <c r="V203" s="34">
        <v>1.7075796352847601</v>
      </c>
      <c r="W203" s="34"/>
    </row>
    <row r="204" spans="1:23">
      <c r="A204" s="1" t="s">
        <v>1139</v>
      </c>
      <c r="B204" s="34">
        <v>7.3014039999999998</v>
      </c>
      <c r="C204" s="34">
        <v>8.3228170000000006</v>
      </c>
      <c r="D204" s="34">
        <v>9.2735040000000009</v>
      </c>
      <c r="E204" s="34">
        <v>9.8667870000000004</v>
      </c>
      <c r="F204" s="34">
        <v>11.556843000000001</v>
      </c>
      <c r="G204" s="34">
        <v>12.736131</v>
      </c>
      <c r="H204" s="34">
        <v>12.618288</v>
      </c>
      <c r="I204" s="34">
        <v>13.984503</v>
      </c>
      <c r="J204" s="34">
        <v>14.341196</v>
      </c>
      <c r="K204" s="34">
        <v>14.016913000000001</v>
      </c>
      <c r="L204" s="34">
        <v>15.821142</v>
      </c>
      <c r="M204" s="34">
        <v>18.443729000000001</v>
      </c>
      <c r="N204" s="34">
        <v>19.568259999999999</v>
      </c>
      <c r="O204" s="34">
        <v>19.505592</v>
      </c>
      <c r="P204" s="34">
        <v>20.998875000000002</v>
      </c>
      <c r="Q204" s="34">
        <v>23.562632000000001</v>
      </c>
      <c r="R204" s="34">
        <v>24.192336999999998</v>
      </c>
      <c r="S204" s="34">
        <v>24.124181</v>
      </c>
      <c r="T204" s="34">
        <v>24.542904</v>
      </c>
      <c r="U204" s="34">
        <v>24.838260999999999</v>
      </c>
      <c r="V204" s="34">
        <v>24.492858999999999</v>
      </c>
      <c r="W204" s="34">
        <v>26.37</v>
      </c>
    </row>
    <row r="205" spans="1:23">
      <c r="A205" s="1" t="s">
        <v>1088</v>
      </c>
      <c r="B205" s="34">
        <v>158.48355041381899</v>
      </c>
      <c r="C205" s="34">
        <v>156.85995823914399</v>
      </c>
      <c r="D205" s="34">
        <v>146.340676959929</v>
      </c>
      <c r="E205" s="34">
        <v>172.941307844779</v>
      </c>
      <c r="F205" s="34">
        <v>187.09652493075899</v>
      </c>
      <c r="G205" s="34">
        <v>197.823327120138</v>
      </c>
      <c r="H205" s="34">
        <v>196.738293977354</v>
      </c>
      <c r="I205" s="34">
        <v>216.36567446676401</v>
      </c>
      <c r="J205" s="34">
        <v>242.926848453574</v>
      </c>
      <c r="K205" s="34">
        <v>258.31952326698803</v>
      </c>
      <c r="L205" s="34">
        <v>263.476889085317</v>
      </c>
      <c r="M205" s="34">
        <v>276.64923095703102</v>
      </c>
      <c r="N205" s="34">
        <v>299.23913574218801</v>
      </c>
      <c r="O205" s="34">
        <v>302.89480590820301</v>
      </c>
      <c r="P205" s="34">
        <v>297.07180786132801</v>
      </c>
      <c r="Q205" s="34">
        <v>299.61502075195301</v>
      </c>
      <c r="R205" s="34">
        <v>311.47610473632801</v>
      </c>
      <c r="S205" s="34">
        <v>325.126220703125</v>
      </c>
      <c r="T205" s="34">
        <v>315.515359817177</v>
      </c>
      <c r="U205" s="34">
        <v>317.73453083078601</v>
      </c>
      <c r="V205" s="34">
        <v>339.90344409267101</v>
      </c>
      <c r="W205" s="34"/>
    </row>
    <row r="206" spans="1:23">
      <c r="A206" s="1" t="s">
        <v>1197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</row>
    <row r="207" spans="1:23">
      <c r="A207" s="1" t="s">
        <v>1142</v>
      </c>
      <c r="B207" s="34">
        <v>0.86234267720594104</v>
      </c>
      <c r="C207" s="34">
        <v>0.82993859018973504</v>
      </c>
      <c r="D207" s="34">
        <v>0.86568392064561595</v>
      </c>
      <c r="E207" s="34">
        <v>0.86958890270501099</v>
      </c>
      <c r="F207" s="34">
        <v>0.94041684275182202</v>
      </c>
      <c r="G207" s="34">
        <v>1.0957744526017399</v>
      </c>
      <c r="H207" s="34">
        <v>1.18667035953292</v>
      </c>
      <c r="I207" s="34">
        <v>1.2531087490277899</v>
      </c>
      <c r="J207" s="34">
        <v>1.44664204413401</v>
      </c>
      <c r="K207" s="34">
        <v>1.2101026290356101</v>
      </c>
      <c r="L207" s="34">
        <v>1.40180079116764</v>
      </c>
      <c r="M207" s="34">
        <v>1.58635425567627</v>
      </c>
      <c r="N207" s="34">
        <v>1.6501966714859</v>
      </c>
      <c r="O207" s="34">
        <v>1.6664663553237899</v>
      </c>
      <c r="P207" s="34">
        <v>1.6462805271148699</v>
      </c>
      <c r="Q207" s="34">
        <v>1.59129655361176</v>
      </c>
      <c r="R207" s="34">
        <v>1.6389201879501301</v>
      </c>
      <c r="S207" s="34">
        <v>1.6490272283554099</v>
      </c>
      <c r="T207" s="34">
        <v>1.7956907540367599</v>
      </c>
      <c r="U207" s="34">
        <v>1.7727779267446</v>
      </c>
      <c r="V207" s="34">
        <v>1.6127938095857901</v>
      </c>
      <c r="W207" s="34"/>
    </row>
    <row r="208" spans="1:23">
      <c r="A208" s="1" t="s">
        <v>1097</v>
      </c>
      <c r="B208" s="34">
        <v>0.35549528040573702</v>
      </c>
      <c r="C208" s="34">
        <v>0.421382902215925</v>
      </c>
      <c r="D208" s="34">
        <v>0.45962724695371299</v>
      </c>
      <c r="E208" s="34">
        <v>0.49546903661171499</v>
      </c>
      <c r="F208" s="34">
        <v>0.56582318722334901</v>
      </c>
      <c r="G208" s="34">
        <v>0.64780057066292596</v>
      </c>
      <c r="H208" s="34">
        <v>0.67688790453728498</v>
      </c>
      <c r="I208" s="34">
        <v>0.76007873906502799</v>
      </c>
      <c r="J208" s="34">
        <v>0.81186561064679497</v>
      </c>
      <c r="K208" s="34">
        <v>0.82072680838244605</v>
      </c>
      <c r="L208" s="34">
        <v>0.99518441732365504</v>
      </c>
      <c r="M208" s="34">
        <v>1.2314757108688399</v>
      </c>
      <c r="N208" s="34">
        <v>1.6391863822937001</v>
      </c>
      <c r="O208" s="34">
        <v>2.2071690559387198</v>
      </c>
      <c r="P208" s="34">
        <v>2.6209602355957</v>
      </c>
      <c r="Q208" s="34">
        <v>2.96842265129089</v>
      </c>
      <c r="R208" s="34">
        <v>3.3734300136566202</v>
      </c>
      <c r="S208" s="34">
        <v>4.6189689636230504</v>
      </c>
      <c r="T208" s="34">
        <v>7.0355301236113403</v>
      </c>
      <c r="U208" s="34">
        <v>10.5049908178352</v>
      </c>
      <c r="V208" s="34">
        <v>22.345600264528802</v>
      </c>
      <c r="W208" s="34"/>
    </row>
    <row r="209" spans="1:23">
      <c r="A209" s="1" t="s">
        <v>1090</v>
      </c>
      <c r="B209" s="34">
        <v>217.99644781446</v>
      </c>
      <c r="C209" s="34">
        <v>228.23890801274399</v>
      </c>
      <c r="D209" s="34">
        <v>228.96437587244</v>
      </c>
      <c r="E209" s="34">
        <v>222.715274908483</v>
      </c>
      <c r="F209" s="34">
        <v>216.58385694482999</v>
      </c>
      <c r="G209" s="34">
        <v>219.95698496085399</v>
      </c>
      <c r="H209" s="34">
        <v>219.65656888702</v>
      </c>
      <c r="I209" s="34">
        <v>228.00427776615501</v>
      </c>
      <c r="J209" s="34">
        <v>242.03053402758101</v>
      </c>
      <c r="K209" s="34">
        <v>236.14231378249201</v>
      </c>
      <c r="L209" s="34">
        <v>237.16742365862001</v>
      </c>
      <c r="M209" s="34">
        <v>241.27606201171901</v>
      </c>
      <c r="N209" s="34">
        <v>245.59980773925801</v>
      </c>
      <c r="O209" s="34">
        <v>247.2119140625</v>
      </c>
      <c r="P209" s="34">
        <v>243.61833190918</v>
      </c>
      <c r="Q209" s="34">
        <v>242.59521484375</v>
      </c>
      <c r="R209" s="34">
        <v>244.65771484375</v>
      </c>
      <c r="S209" s="34">
        <v>246.78666687011699</v>
      </c>
      <c r="T209" s="34">
        <v>238.97674965567001</v>
      </c>
      <c r="U209" s="34">
        <v>239.16411681189601</v>
      </c>
      <c r="V209" s="34">
        <v>241.85236321725301</v>
      </c>
      <c r="W209" s="34"/>
    </row>
    <row r="210" spans="1:23">
      <c r="A210" s="1" t="s">
        <v>1145</v>
      </c>
      <c r="B210" s="34">
        <v>0.93813347259049595</v>
      </c>
      <c r="C210" s="34">
        <v>0.90132460337563303</v>
      </c>
      <c r="D210" s="34">
        <v>0.87940559275277297</v>
      </c>
      <c r="E210" s="34">
        <v>0.847940655254668</v>
      </c>
      <c r="F210" s="34">
        <v>0.85934605723394497</v>
      </c>
      <c r="G210" s="34">
        <v>0.84928286829452404</v>
      </c>
      <c r="H210" s="34">
        <v>0.83955152466431804</v>
      </c>
      <c r="I210" s="34">
        <v>0.86595923064444602</v>
      </c>
      <c r="J210" s="34">
        <v>0.83766197314744895</v>
      </c>
      <c r="K210" s="34">
        <v>0.85594065569077105</v>
      </c>
      <c r="L210" s="34">
        <v>0.85541066060853999</v>
      </c>
      <c r="M210" s="34">
        <v>0.84673774242401101</v>
      </c>
      <c r="N210" s="34">
        <v>0.84587192535400402</v>
      </c>
      <c r="O210" s="34">
        <v>0.85881692171096802</v>
      </c>
      <c r="P210" s="34">
        <v>0.86395078897476196</v>
      </c>
      <c r="Q210" s="34">
        <v>0.879599809646606</v>
      </c>
      <c r="R210" s="34">
        <v>0.87830555438995395</v>
      </c>
      <c r="S210" s="34">
        <v>0.88597989082336404</v>
      </c>
      <c r="T210" s="34">
        <v>0.89417043581195899</v>
      </c>
      <c r="U210" s="34">
        <v>0.87300462146764601</v>
      </c>
      <c r="V210" s="34">
        <v>0.83742320282747296</v>
      </c>
      <c r="W210" s="34"/>
    </row>
    <row r="211" spans="1:23">
      <c r="A211" s="1" t="s">
        <v>1148</v>
      </c>
      <c r="B211" s="34">
        <v>3.1699858789480402</v>
      </c>
      <c r="C211" s="34">
        <v>3.4081911904762499</v>
      </c>
      <c r="D211" s="34">
        <v>3.7343605687735102</v>
      </c>
      <c r="E211" s="34">
        <v>3.89505166012591</v>
      </c>
      <c r="F211" s="34">
        <v>3.9998998706732398</v>
      </c>
      <c r="G211" s="34">
        <v>4.4349738008391402</v>
      </c>
      <c r="H211" s="34">
        <v>4.6857927800098196</v>
      </c>
      <c r="I211" s="34">
        <v>5.0582261481150104</v>
      </c>
      <c r="J211" s="34">
        <v>5.3523927978736499</v>
      </c>
      <c r="K211" s="34">
        <v>5.6680718493289399</v>
      </c>
      <c r="L211" s="34">
        <v>5.9423225934380399</v>
      </c>
      <c r="M211" s="34">
        <v>6.3748621240379801</v>
      </c>
      <c r="N211" s="34">
        <v>6.70474408892842</v>
      </c>
      <c r="O211" s="34">
        <v>6.6990839810404701</v>
      </c>
      <c r="P211" s="34">
        <v>6.8344012826840297</v>
      </c>
      <c r="Q211" s="34">
        <v>7.01087665854158</v>
      </c>
      <c r="R211" s="34">
        <v>6.9404404580897596</v>
      </c>
      <c r="S211" s="34">
        <v>6.9070920757796097</v>
      </c>
      <c r="T211" s="34">
        <v>6.9433195659230904</v>
      </c>
      <c r="U211" s="34">
        <v>6.9077932218689</v>
      </c>
      <c r="V211" s="34">
        <v>7.0579051264407404</v>
      </c>
      <c r="W211" s="34"/>
    </row>
    <row r="212" spans="1:23">
      <c r="A212" s="1" t="s">
        <v>1092</v>
      </c>
      <c r="B212" s="34">
        <v>418.71079016639698</v>
      </c>
      <c r="C212" s="34">
        <v>712.25201424526995</v>
      </c>
      <c r="D212" s="34">
        <v>673.70230895332304</v>
      </c>
      <c r="E212" s="34">
        <v>748.35255488945302</v>
      </c>
      <c r="F212" s="34">
        <v>822.126970996522</v>
      </c>
      <c r="G212" s="34">
        <v>929.88110107979298</v>
      </c>
      <c r="H212" s="34">
        <v>1013.84459238328</v>
      </c>
      <c r="I212" s="34">
        <v>1054.42406658199</v>
      </c>
      <c r="J212" s="34">
        <v>1137.6709969199801</v>
      </c>
      <c r="K212" s="34">
        <v>1216.9246206062701</v>
      </c>
      <c r="L212" s="34">
        <v>1409.5326042709401</v>
      </c>
      <c r="M212" s="34">
        <v>1620.57507324219</v>
      </c>
      <c r="N212" s="34">
        <v>1750.4375</v>
      </c>
      <c r="O212" s="34">
        <v>1778.18005371094</v>
      </c>
      <c r="P212" s="34">
        <v>1808.75476074219</v>
      </c>
      <c r="Q212" s="34">
        <v>1881.81066894531</v>
      </c>
      <c r="R212" s="34">
        <v>1975.34399414063</v>
      </c>
      <c r="S212" s="34">
        <v>2244.99462890625</v>
      </c>
      <c r="T212" s="34">
        <v>2499.76863407173</v>
      </c>
      <c r="U212" s="34">
        <v>2645.0886974473201</v>
      </c>
      <c r="V212" s="34">
        <v>2898.8755696087801</v>
      </c>
      <c r="W212" s="34"/>
    </row>
    <row r="213" spans="1:23">
      <c r="A213" s="1" t="s">
        <v>1035</v>
      </c>
      <c r="B213" s="34">
        <v>0.44808295224004102</v>
      </c>
      <c r="C213" s="34">
        <v>0.452994670864524</v>
      </c>
      <c r="D213" s="34">
        <v>0.45267747309900203</v>
      </c>
      <c r="E213" s="34">
        <v>0.45760425289043799</v>
      </c>
      <c r="F213" s="34">
        <v>0.45771771016921098</v>
      </c>
      <c r="G213" s="34">
        <v>0.462821552159915</v>
      </c>
      <c r="H213" s="34">
        <v>0.46865554786418401</v>
      </c>
      <c r="I213" s="34">
        <v>0.47639909551721199</v>
      </c>
      <c r="J213" s="34">
        <v>0.48380709039973802</v>
      </c>
      <c r="K213" s="34">
        <v>0.479878820003248</v>
      </c>
      <c r="L213" s="34">
        <v>0.48690089117829299</v>
      </c>
      <c r="M213" s="34">
        <v>0.50512027740478505</v>
      </c>
      <c r="N213" s="34">
        <v>0.52412414550781306</v>
      </c>
      <c r="O213" s="34">
        <v>0.51031726598739602</v>
      </c>
      <c r="P213" s="34">
        <v>0.49619051814079301</v>
      </c>
      <c r="Q213" s="34">
        <v>0.48772457242012002</v>
      </c>
      <c r="R213" s="34">
        <v>0.47346323728561401</v>
      </c>
      <c r="S213" s="34">
        <v>0.46253019571304299</v>
      </c>
      <c r="T213" s="34">
        <v>0.45934842189720498</v>
      </c>
      <c r="U213" s="34">
        <v>0.45562610584537</v>
      </c>
      <c r="V213" s="34">
        <v>0.45111843049052702</v>
      </c>
      <c r="W213" s="34"/>
    </row>
    <row r="214" spans="1:23">
      <c r="A214" s="1" t="s">
        <v>1198</v>
      </c>
      <c r="B214" s="34">
        <v>0.757151780678465</v>
      </c>
      <c r="C214" s="34">
        <v>0.76093076732078802</v>
      </c>
      <c r="D214" s="34">
        <v>0.76696092227260704</v>
      </c>
      <c r="E214" s="34">
        <v>0.77143912528577996</v>
      </c>
      <c r="F214" s="34">
        <v>0.76632087757802603</v>
      </c>
      <c r="G214" s="34">
        <v>0.75556668729045495</v>
      </c>
      <c r="H214" s="34">
        <v>0.74812931235679303</v>
      </c>
      <c r="I214" s="34">
        <v>0.71418822254760705</v>
      </c>
      <c r="J214" s="34">
        <v>0.72040106771118495</v>
      </c>
      <c r="K214" s="34">
        <v>0.72209569576822996</v>
      </c>
      <c r="L214" s="34">
        <v>0.72398795940771499</v>
      </c>
      <c r="M214" s="34">
        <v>0.71025689999999997</v>
      </c>
      <c r="N214" s="34">
        <v>0.71452112755585595</v>
      </c>
      <c r="O214" s="34">
        <v>0.72622698102306305</v>
      </c>
      <c r="P214" s="34">
        <v>0.69003746306645097</v>
      </c>
      <c r="Q214" s="34">
        <v>0.69140223664803402</v>
      </c>
      <c r="R214" s="34">
        <v>0.68913126741554598</v>
      </c>
      <c r="S214" s="34">
        <v>0.68267809471537999</v>
      </c>
      <c r="T214" s="34">
        <v>0.68009273609748899</v>
      </c>
      <c r="U214" s="34">
        <v>0.67223739443934905</v>
      </c>
      <c r="V214" s="34"/>
      <c r="W214" s="34"/>
    </row>
    <row r="215" spans="1:23">
      <c r="A215" s="1" t="s">
        <v>391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>
        <v>8001.0313137900903</v>
      </c>
      <c r="N215" s="34">
        <v>8005.5929977191699</v>
      </c>
      <c r="O215" s="34">
        <v>8325.8633473100508</v>
      </c>
      <c r="P215" s="34">
        <v>8129.2714312595999</v>
      </c>
      <c r="Q215" s="34">
        <v>7941.6353301305398</v>
      </c>
      <c r="R215" s="34">
        <v>7916.9107517724897</v>
      </c>
      <c r="S215" s="34">
        <v>8229.5310858614394</v>
      </c>
      <c r="T215" s="34">
        <v>8073.3866116252602</v>
      </c>
      <c r="U215" s="34">
        <v>8500.2322997002993</v>
      </c>
      <c r="V215" s="34">
        <v>9062.7708143232394</v>
      </c>
      <c r="W215" s="34"/>
    </row>
    <row r="216" spans="1:23">
      <c r="A216" s="1" t="s">
        <v>1143</v>
      </c>
      <c r="B216" s="34">
        <v>9.5999601289165</v>
      </c>
      <c r="C216" s="34">
        <v>17.830747835300699</v>
      </c>
      <c r="D216" s="34">
        <v>20.357593639865598</v>
      </c>
      <c r="E216" s="34">
        <v>22.635826286840199</v>
      </c>
      <c r="F216" s="34">
        <v>24.093787018504099</v>
      </c>
      <c r="G216" s="34">
        <v>27.0328608511231</v>
      </c>
      <c r="H216" s="34">
        <v>28.824473834806401</v>
      </c>
      <c r="I216" s="34">
        <v>30.4251573121531</v>
      </c>
      <c r="J216" s="34">
        <v>31.324601967660801</v>
      </c>
      <c r="K216" s="34">
        <v>33.262612687434903</v>
      </c>
      <c r="L216" s="34">
        <v>34.833460732152197</v>
      </c>
      <c r="M216" s="34">
        <v>36.323675206666998</v>
      </c>
      <c r="N216" s="34">
        <v>37.982521589456802</v>
      </c>
      <c r="O216" s="34">
        <v>39.322877589888598</v>
      </c>
      <c r="P216" s="34">
        <v>39.8019603347472</v>
      </c>
      <c r="Q216" s="34">
        <v>40.737258284810601</v>
      </c>
      <c r="R216" s="34">
        <v>40.455009408480798</v>
      </c>
      <c r="S216" s="34">
        <v>40.8209385686622</v>
      </c>
      <c r="T216" s="34">
        <v>41.004354077369598</v>
      </c>
      <c r="U216" s="34">
        <v>41.474880097962497</v>
      </c>
      <c r="V216" s="34">
        <v>41.768581566444603</v>
      </c>
      <c r="W216" s="34"/>
    </row>
    <row r="217" spans="1:23">
      <c r="A217" s="1" t="s">
        <v>1247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</row>
    <row r="218" spans="1:23">
      <c r="A218" s="1" t="s">
        <v>412</v>
      </c>
      <c r="B218" s="34"/>
      <c r="C218" s="34"/>
      <c r="D218" s="34"/>
      <c r="E218" s="34"/>
      <c r="F218" s="34"/>
      <c r="G218" s="34"/>
      <c r="H218" s="34"/>
      <c r="I218" s="34"/>
      <c r="J218" s="34">
        <v>1.1995743855402501</v>
      </c>
      <c r="K218" s="34">
        <v>1.0496706145991099</v>
      </c>
      <c r="L218" s="34">
        <v>1.1717019985358199</v>
      </c>
      <c r="M218" s="34">
        <v>1.5934278790787799</v>
      </c>
      <c r="N218" s="34">
        <v>2.29091910386011</v>
      </c>
      <c r="O218" s="34">
        <v>2.5006409141290402</v>
      </c>
      <c r="P218" s="34">
        <v>2.6093578209665198</v>
      </c>
      <c r="Q218" s="34">
        <v>3.2682952304697199</v>
      </c>
      <c r="R218" s="34"/>
      <c r="S218" s="34"/>
      <c r="T218" s="34"/>
      <c r="U218" s="34"/>
      <c r="V218" s="34"/>
      <c r="W218" s="34"/>
    </row>
    <row r="219" spans="1:23">
      <c r="A219" s="1" t="s">
        <v>1199</v>
      </c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</row>
    <row r="220" spans="1:23">
      <c r="A220" s="1" t="s">
        <v>1200</v>
      </c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</row>
    <row r="221" spans="1:23">
      <c r="A221" s="1" t="s">
        <v>1141</v>
      </c>
      <c r="B221" s="34"/>
      <c r="C221" s="34">
        <v>2.5188108422858702</v>
      </c>
      <c r="D221" s="34">
        <v>2.7916680384722499</v>
      </c>
      <c r="E221" s="34">
        <v>3.1703843542210701</v>
      </c>
      <c r="F221" s="34">
        <v>3.5353492430355402</v>
      </c>
      <c r="G221" s="34">
        <v>4.0648821776917403</v>
      </c>
      <c r="H221" s="34">
        <v>4.46099435847617</v>
      </c>
      <c r="I221" s="34">
        <v>4.7793450967918698</v>
      </c>
      <c r="J221" s="34">
        <v>5.9303944583473402</v>
      </c>
      <c r="K221" s="34">
        <v>6.3310729825276404</v>
      </c>
      <c r="L221" s="34">
        <v>7.0390620910046104</v>
      </c>
      <c r="M221" s="34">
        <v>7.4313936233520499</v>
      </c>
      <c r="N221" s="34">
        <v>8.6515598297119105</v>
      </c>
      <c r="O221" s="34">
        <v>8.7667951583862305</v>
      </c>
      <c r="P221" s="34">
        <v>8.6241178512573207</v>
      </c>
      <c r="Q221" s="34">
        <v>9.1860589981079102</v>
      </c>
      <c r="R221" s="34">
        <v>9.7386798858642596</v>
      </c>
      <c r="S221" s="34">
        <v>10.0551843643188</v>
      </c>
      <c r="T221" s="34">
        <v>9.9879033776710404</v>
      </c>
      <c r="U221" s="34">
        <v>10.497486897273401</v>
      </c>
      <c r="V221" s="34">
        <v>10.940261716610699</v>
      </c>
      <c r="W221" s="34"/>
    </row>
    <row r="222" spans="1:23">
      <c r="A222" s="1" t="s">
        <v>1153</v>
      </c>
      <c r="B222" s="34">
        <v>0.45186355661953298</v>
      </c>
      <c r="C222" s="34">
        <v>0.61695383017671102</v>
      </c>
      <c r="D222" s="34">
        <v>0.79126026662825599</v>
      </c>
      <c r="E222" s="34">
        <v>0.94243896902850199</v>
      </c>
      <c r="F222" s="34">
        <v>1.0355494169038999</v>
      </c>
      <c r="G222" s="34">
        <v>1.1603282915114701</v>
      </c>
      <c r="H222" s="34">
        <v>1.27208285563093</v>
      </c>
      <c r="I222" s="34">
        <v>1.31840081613589</v>
      </c>
      <c r="J222" s="34">
        <v>1.49397197254644</v>
      </c>
      <c r="K222" s="34">
        <v>1.5787995236285699</v>
      </c>
      <c r="L222" s="34">
        <v>1.67292492018062</v>
      </c>
      <c r="M222" s="34">
        <v>1.86556231975555</v>
      </c>
      <c r="N222" s="34">
        <v>1.92353367805481</v>
      </c>
      <c r="O222" s="34">
        <v>1.8451941013336199</v>
      </c>
      <c r="P222" s="34">
        <v>1.8108571767807</v>
      </c>
      <c r="Q222" s="34">
        <v>1.82014083862305</v>
      </c>
      <c r="R222" s="34">
        <v>2.4285078048706099</v>
      </c>
      <c r="S222" s="34">
        <v>2.57821440696716</v>
      </c>
      <c r="T222" s="34">
        <v>2.66033997377694</v>
      </c>
      <c r="U222" s="34">
        <v>2.7292761649953299</v>
      </c>
      <c r="V222" s="34">
        <v>3.9067259303730899</v>
      </c>
      <c r="W222" s="34"/>
    </row>
    <row r="223" spans="1:23">
      <c r="A223" s="1" t="s">
        <v>1146</v>
      </c>
      <c r="B223" s="34">
        <v>0.51645099999999999</v>
      </c>
      <c r="C223" s="34">
        <v>0.51582399999999995</v>
      </c>
      <c r="D223" s="34">
        <v>0.52151800000000004</v>
      </c>
      <c r="E223" s="34">
        <v>0.54434700000000003</v>
      </c>
      <c r="F223" s="34">
        <v>0.56448799999999999</v>
      </c>
      <c r="G223" s="34">
        <v>0.56471499999999997</v>
      </c>
      <c r="H223" s="34">
        <v>0.55459599999999998</v>
      </c>
      <c r="I223" s="34">
        <v>0.55376199999999998</v>
      </c>
      <c r="J223" s="34">
        <v>0.53742999999999996</v>
      </c>
      <c r="K223" s="34">
        <v>0.51556299999999999</v>
      </c>
      <c r="L223" s="34">
        <v>0.50208600000000003</v>
      </c>
      <c r="M223" s="34">
        <v>0.50640700000000005</v>
      </c>
      <c r="N223" s="34">
        <v>0.50454200000000005</v>
      </c>
      <c r="O223" s="34">
        <v>0.491124</v>
      </c>
      <c r="P223" s="34">
        <v>0.48541200000000001</v>
      </c>
      <c r="Q223" s="34">
        <v>0.49154799999999998</v>
      </c>
      <c r="R223" s="34">
        <v>0.50319400000000003</v>
      </c>
      <c r="S223" s="34">
        <v>0.51643300000000003</v>
      </c>
      <c r="T223" s="34">
        <v>0.52600100000000005</v>
      </c>
      <c r="U223" s="34">
        <v>0.53942000000000001</v>
      </c>
      <c r="V223" s="34">
        <v>0.53794200000000003</v>
      </c>
      <c r="W223" s="34">
        <v>0.53329499999999996</v>
      </c>
    </row>
    <row r="224" spans="1:23">
      <c r="A224" s="1" t="s">
        <v>1147</v>
      </c>
      <c r="B224" s="34">
        <v>0.52657799999999999</v>
      </c>
      <c r="C224" s="34">
        <v>0.56026399999999998</v>
      </c>
      <c r="D224" s="34">
        <v>0.58328599999999997</v>
      </c>
      <c r="E224" s="34">
        <v>0.60789099999999996</v>
      </c>
      <c r="F224" s="34">
        <v>0.60782899999999995</v>
      </c>
      <c r="G224" s="34">
        <v>0.61013499999999998</v>
      </c>
      <c r="H224" s="34">
        <v>0.60968299999999997</v>
      </c>
      <c r="I224" s="34">
        <v>0.63036499999999995</v>
      </c>
      <c r="J224" s="34">
        <v>0.63378900000000005</v>
      </c>
      <c r="K224" s="34">
        <v>0.64547399999999999</v>
      </c>
      <c r="L224" s="34">
        <v>0.63790000000000002</v>
      </c>
      <c r="M224" s="34">
        <v>0.62397000000000002</v>
      </c>
      <c r="N224" s="34">
        <v>0.60679300000000003</v>
      </c>
      <c r="O224" s="34">
        <v>0.59040700000000002</v>
      </c>
      <c r="P224" s="34">
        <v>0.59123800000000004</v>
      </c>
      <c r="Q224" s="34">
        <v>0.59529799999999999</v>
      </c>
      <c r="R224" s="34">
        <v>0.57710600000000001</v>
      </c>
      <c r="S224" s="34">
        <v>0.57014900000000002</v>
      </c>
      <c r="T224" s="34">
        <v>0.56761200000000001</v>
      </c>
      <c r="U224" s="34">
        <v>0.56979900000000006</v>
      </c>
      <c r="V224" s="34">
        <v>0.56176400000000004</v>
      </c>
      <c r="W224" s="34">
        <v>0.55805800000000005</v>
      </c>
    </row>
    <row r="225" spans="1:23">
      <c r="A225" s="1" t="s">
        <v>1154</v>
      </c>
      <c r="B225" s="34">
        <v>9.1642519999999994</v>
      </c>
      <c r="C225" s="34">
        <v>9.4042239999999993</v>
      </c>
      <c r="D225" s="34">
        <v>9.4136550000000003</v>
      </c>
      <c r="E225" s="34">
        <v>9.4859829999999992</v>
      </c>
      <c r="F225" s="34">
        <v>9.2943029999999993</v>
      </c>
      <c r="G225" s="34">
        <v>9.4791819999999998</v>
      </c>
      <c r="H225" s="34">
        <v>9.1114610000000003</v>
      </c>
      <c r="I225" s="34">
        <v>8.8729080000000007</v>
      </c>
      <c r="J225" s="34">
        <v>8.7789859999999997</v>
      </c>
      <c r="K225" s="34">
        <v>8.9207409999999996</v>
      </c>
      <c r="L225" s="34">
        <v>9.0246220000000008</v>
      </c>
      <c r="M225" s="34">
        <v>8.844042</v>
      </c>
      <c r="N225" s="34">
        <v>8.6547680000000007</v>
      </c>
      <c r="O225" s="34">
        <v>8.5976809999999997</v>
      </c>
      <c r="P225" s="34">
        <v>8.727131</v>
      </c>
      <c r="Q225" s="34">
        <v>8.8543830000000003</v>
      </c>
      <c r="R225" s="34">
        <v>8.8225859999999994</v>
      </c>
      <c r="S225" s="34">
        <v>8.8522470000000002</v>
      </c>
      <c r="T225" s="34">
        <v>8.8658809999999999</v>
      </c>
      <c r="U225" s="34">
        <v>8.9976599999999998</v>
      </c>
      <c r="V225" s="34">
        <v>8.7478809999999996</v>
      </c>
      <c r="W225" s="34">
        <v>8.5546410000000002</v>
      </c>
    </row>
    <row r="226" spans="1:23">
      <c r="A226" s="1" t="s">
        <v>1201</v>
      </c>
      <c r="B226" s="34">
        <v>2.5406570188374702</v>
      </c>
      <c r="C226" s="34">
        <v>2.70845046620938</v>
      </c>
      <c r="D226" s="34">
        <v>2.9039729129035399</v>
      </c>
      <c r="E226" s="34">
        <v>3.0222449153546398</v>
      </c>
      <c r="F226" s="34">
        <v>3.0569452643219099</v>
      </c>
      <c r="G226" s="34">
        <v>3.1589832510037601</v>
      </c>
      <c r="H226" s="34">
        <v>3.1901038104930799</v>
      </c>
      <c r="I226" s="34">
        <v>3.2624272241357901</v>
      </c>
      <c r="J226" s="34">
        <v>3.5338166683685501</v>
      </c>
      <c r="K226" s="34">
        <v>3.8497195452659598</v>
      </c>
      <c r="L226" s="34">
        <v>3.9270419560627601</v>
      </c>
      <c r="M226" s="34">
        <v>4.0521378517150897</v>
      </c>
      <c r="N226" s="34">
        <v>4.4966244697570801</v>
      </c>
      <c r="O226" s="34">
        <v>4.6900162696838397</v>
      </c>
      <c r="P226" s="34">
        <v>4.9823050498962402</v>
      </c>
      <c r="Q226" s="34">
        <v>5.3229084014892596</v>
      </c>
      <c r="R226" s="34">
        <v>5.7878603935241699</v>
      </c>
      <c r="S226" s="34">
        <v>6.2055931091308603</v>
      </c>
      <c r="T226" s="34">
        <v>6.2305362365221901</v>
      </c>
      <c r="U226" s="34">
        <v>6.2736403463535604</v>
      </c>
      <c r="V226" s="34">
        <v>6.36144912050319</v>
      </c>
      <c r="W226" s="34"/>
    </row>
    <row r="227" spans="1:23">
      <c r="A227" s="1" t="s">
        <v>1202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>
        <v>1.37052062234182</v>
      </c>
      <c r="L227" s="34">
        <v>1.3700262415466</v>
      </c>
      <c r="M227" s="34">
        <v>1.34595239162445</v>
      </c>
      <c r="N227" s="34">
        <v>1.54946506023407</v>
      </c>
      <c r="O227" s="34">
        <v>1.5400362014770499</v>
      </c>
      <c r="P227" s="34">
        <v>1.52214002609253</v>
      </c>
      <c r="Q227" s="34">
        <v>1.5118891000747701</v>
      </c>
      <c r="R227" s="34">
        <v>1.4803508520126301</v>
      </c>
      <c r="S227" s="34">
        <v>1.3865706920623799</v>
      </c>
      <c r="T227" s="34">
        <v>1.4422666008139</v>
      </c>
      <c r="U227" s="34"/>
      <c r="V227" s="34"/>
      <c r="W227" s="34"/>
    </row>
    <row r="228" spans="1:23">
      <c r="A228" s="1" t="s">
        <v>1144</v>
      </c>
      <c r="B228" s="34">
        <v>3.0343188836242998</v>
      </c>
      <c r="C228" s="34">
        <v>3.1519978605384198</v>
      </c>
      <c r="D228" s="34">
        <v>3.21503058705522</v>
      </c>
      <c r="E228" s="34">
        <v>3.3441195586952701</v>
      </c>
      <c r="F228" s="34">
        <v>4.0599491924343001</v>
      </c>
      <c r="G228" s="34">
        <v>3.9553626854836499</v>
      </c>
      <c r="H228" s="34">
        <v>3.8945554293021099</v>
      </c>
      <c r="I228" s="34">
        <v>4.24020300434319</v>
      </c>
      <c r="J228" s="34">
        <v>5.6136034275428601</v>
      </c>
      <c r="K228" s="34">
        <v>7.1028688967890599</v>
      </c>
      <c r="L228" s="34">
        <v>6.7252783086179502</v>
      </c>
      <c r="M228" s="34">
        <v>6.8838653564453098</v>
      </c>
      <c r="N228" s="34">
        <v>7.6246895790100098</v>
      </c>
      <c r="O228" s="34">
        <v>7.9590930938720703</v>
      </c>
      <c r="P228" s="34">
        <v>7.8436746597290004</v>
      </c>
      <c r="Q228" s="34">
        <v>8.1570787429809606</v>
      </c>
      <c r="R228" s="34">
        <v>7.8153324127197301</v>
      </c>
      <c r="S228" s="34">
        <v>7.9686732292175302</v>
      </c>
      <c r="T228" s="34">
        <v>7.8931597184366904</v>
      </c>
      <c r="U228" s="34">
        <v>7.9062347930194203</v>
      </c>
      <c r="V228" s="34">
        <v>7.3524000766108903</v>
      </c>
      <c r="W228" s="34"/>
    </row>
    <row r="229" spans="1:23">
      <c r="A229" s="1" t="s">
        <v>1203</v>
      </c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</row>
    <row r="230" spans="1:23">
      <c r="A230" s="1" t="s">
        <v>1204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>
        <v>1.02840805053711</v>
      </c>
      <c r="N230" s="34">
        <v>1.1017311811447099</v>
      </c>
      <c r="O230" s="34">
        <v>1.0793150663375899</v>
      </c>
      <c r="P230" s="34">
        <v>1.0793718099594101</v>
      </c>
      <c r="Q230" s="34">
        <v>1.08652007579803</v>
      </c>
      <c r="R230" s="34">
        <v>1.0716539621353101</v>
      </c>
      <c r="S230" s="34">
        <v>1.01790571212769</v>
      </c>
      <c r="T230" s="34">
        <v>1.0248330131491801</v>
      </c>
      <c r="U230" s="34">
        <v>1.0282982971610799</v>
      </c>
      <c r="V230" s="34">
        <v>1.0715312035204301</v>
      </c>
      <c r="W230" s="34"/>
    </row>
    <row r="231" spans="1:23">
      <c r="A231" s="1" t="s">
        <v>1024</v>
      </c>
      <c r="B231" s="1">
        <v>160.56127384664899</v>
      </c>
      <c r="C231" s="1">
        <v>178.793264095995</v>
      </c>
      <c r="D231" s="1">
        <v>179.36715346774099</v>
      </c>
      <c r="E231" s="1">
        <v>176.23599178795899</v>
      </c>
      <c r="F231" s="1">
        <v>188.321247769526</v>
      </c>
      <c r="G231" s="1">
        <v>224.64004329236801</v>
      </c>
      <c r="H231" s="1">
        <v>239.81186859732199</v>
      </c>
      <c r="I231" s="1">
        <v>241.24966011448001</v>
      </c>
      <c r="J231" s="1">
        <v>257.11370821039702</v>
      </c>
      <c r="K231" s="1">
        <v>230.77750781033001</v>
      </c>
      <c r="L231" s="1">
        <v>242.69889823788699</v>
      </c>
      <c r="M231" s="1">
        <v>258.13131713867199</v>
      </c>
      <c r="N231" s="1">
        <v>285.353515625</v>
      </c>
      <c r="O231" s="1">
        <v>308.41970825195301</v>
      </c>
      <c r="P231" s="1">
        <v>300.38610839843801</v>
      </c>
      <c r="Q231" s="1">
        <v>252.0751953125</v>
      </c>
      <c r="R231" s="1">
        <v>246.88441467285199</v>
      </c>
      <c r="S231" s="1">
        <v>243.65457153320301</v>
      </c>
      <c r="T231" s="1">
        <v>249.873596592871</v>
      </c>
      <c r="U231" s="1">
        <v>252.50251916518701</v>
      </c>
      <c r="V231" s="1">
        <v>236.81755742803699</v>
      </c>
    </row>
    <row r="232" spans="1:23">
      <c r="A232" s="1" t="s">
        <v>1221</v>
      </c>
    </row>
    <row r="233" spans="1:23">
      <c r="A233" s="1" t="s">
        <v>1224</v>
      </c>
    </row>
    <row r="234" spans="1:23">
      <c r="A234" s="1" t="s">
        <v>1104</v>
      </c>
      <c r="B234" s="1">
        <v>221.25823437788799</v>
      </c>
      <c r="C234" s="1">
        <v>220.04714245427999</v>
      </c>
      <c r="D234" s="1">
        <v>227.51209283448799</v>
      </c>
      <c r="E234" s="1">
        <v>216.90185071294201</v>
      </c>
      <c r="F234" s="1">
        <v>207.18572501980501</v>
      </c>
      <c r="G234" s="1">
        <v>212.733751372184</v>
      </c>
      <c r="H234" s="1">
        <v>205.43456978173299</v>
      </c>
      <c r="I234" s="1">
        <v>210.000811365837</v>
      </c>
      <c r="J234" s="1">
        <v>230.25216898306499</v>
      </c>
      <c r="K234" s="1">
        <v>232.13122787327401</v>
      </c>
      <c r="L234" s="1">
        <v>230.91394854851899</v>
      </c>
      <c r="M234" s="1">
        <v>228.62496948242199</v>
      </c>
      <c r="N234" s="1">
        <v>237.89924621582</v>
      </c>
      <c r="O234" s="1">
        <v>240.65126037597699</v>
      </c>
      <c r="P234" s="1">
        <v>238.234451293945</v>
      </c>
      <c r="Q234" s="1">
        <v>241.55215454101599</v>
      </c>
      <c r="R234" s="1">
        <v>243.55308532714801</v>
      </c>
      <c r="S234" s="1">
        <v>239.72172546386699</v>
      </c>
      <c r="T234" s="1">
        <v>237.228319517215</v>
      </c>
      <c r="U234" s="1">
        <v>236.66881978397399</v>
      </c>
      <c r="V234" s="1">
        <v>236.84878290593301</v>
      </c>
    </row>
    <row r="235" spans="1:23">
      <c r="A235" s="1" t="s">
        <v>252</v>
      </c>
      <c r="B235" s="1">
        <v>11.0276693437961</v>
      </c>
      <c r="C235" s="1">
        <v>10.997897781961299</v>
      </c>
      <c r="D235" s="1">
        <v>11.0096658101522</v>
      </c>
      <c r="E235" s="1">
        <v>11.0412769488306</v>
      </c>
      <c r="F235" s="1">
        <v>11.1355754543617</v>
      </c>
      <c r="G235" s="1">
        <v>11.3490336787979</v>
      </c>
      <c r="H235" s="1">
        <v>11.577940392658199</v>
      </c>
      <c r="I235" s="1">
        <v>11.5539311465692</v>
      </c>
      <c r="J235" s="1">
        <v>11.9153160044527</v>
      </c>
      <c r="K235" s="1">
        <v>11.848198975824401</v>
      </c>
      <c r="L235" s="1">
        <v>12.1896823596256</v>
      </c>
      <c r="M235" s="1">
        <v>12.3871974945068</v>
      </c>
      <c r="N235" s="1">
        <v>12.249703407287599</v>
      </c>
      <c r="O235" s="1">
        <v>12.300760269165</v>
      </c>
      <c r="P235" s="1">
        <v>12.487942695617701</v>
      </c>
      <c r="Q235" s="1">
        <v>12.6408605575562</v>
      </c>
      <c r="R235" s="1">
        <v>12.7310800552368</v>
      </c>
      <c r="S235" s="1">
        <v>12.8447160720825</v>
      </c>
      <c r="T235" s="1">
        <v>12.7232026379071</v>
      </c>
      <c r="U235" s="1">
        <v>12.6183363508257</v>
      </c>
      <c r="V235" s="1">
        <v>12.335128948505099</v>
      </c>
    </row>
    <row r="236" spans="1:23">
      <c r="A236" s="1" t="s">
        <v>1100</v>
      </c>
      <c r="B236" s="1">
        <v>0.27410078932460302</v>
      </c>
      <c r="C236" s="1">
        <v>0.35122484191396403</v>
      </c>
      <c r="D236" s="1">
        <v>0.41082601868886498</v>
      </c>
      <c r="E236" s="1">
        <v>0.51258508745870501</v>
      </c>
      <c r="F236" s="1">
        <v>0.58615619140224995</v>
      </c>
      <c r="G236" s="1">
        <v>0.62253343682626605</v>
      </c>
      <c r="H236" s="1">
        <v>0.73151696116188303</v>
      </c>
      <c r="I236" s="1">
        <v>0.90641864089906199</v>
      </c>
      <c r="J236" s="1">
        <v>1.13953233730904</v>
      </c>
      <c r="K236" s="1">
        <v>1.26804736567718</v>
      </c>
      <c r="L236" s="1">
        <v>1.40964136148176</v>
      </c>
      <c r="M236" s="1">
        <v>1.56478023529053</v>
      </c>
      <c r="N236" s="1">
        <v>1.66968774795532</v>
      </c>
      <c r="O236" s="1">
        <v>1.6493602991104099</v>
      </c>
      <c r="P236" s="1">
        <v>1.6505599021911601</v>
      </c>
      <c r="Q236" s="1">
        <v>1.91402864456177</v>
      </c>
      <c r="R236" s="1">
        <v>2.03031325340271</v>
      </c>
      <c r="S236" s="1">
        <v>2.2305700778961199</v>
      </c>
      <c r="T236" s="1">
        <v>2.2325576616521099</v>
      </c>
      <c r="U236" s="1">
        <v>2.27365177224029</v>
      </c>
      <c r="V236" s="1">
        <v>2.2984661547868801</v>
      </c>
    </row>
    <row r="237" spans="1:23">
      <c r="A237" s="1" t="s">
        <v>1108</v>
      </c>
      <c r="B237" s="1">
        <v>0.45644552645495201</v>
      </c>
      <c r="C237" s="1">
        <v>0.51205810591799905</v>
      </c>
      <c r="D237" s="1">
        <v>0.54620042840602201</v>
      </c>
      <c r="E237" s="1">
        <v>0.60131807527435099</v>
      </c>
      <c r="F237" s="1">
        <v>0.62085499340172601</v>
      </c>
      <c r="G237" s="1">
        <v>0.64440823036345596</v>
      </c>
      <c r="H237" s="1">
        <v>0.702100964295721</v>
      </c>
      <c r="I237" s="1">
        <v>0.74711162060428105</v>
      </c>
      <c r="J237" s="1">
        <v>1.1706679497863</v>
      </c>
      <c r="K237" s="1">
        <v>1.27521543255088</v>
      </c>
      <c r="L237" s="1">
        <v>1.2895960001673801</v>
      </c>
      <c r="M237" s="1">
        <v>1.4256252771395499</v>
      </c>
      <c r="N237" s="1">
        <v>1.5778361046542</v>
      </c>
      <c r="O237" s="1">
        <v>1.63410950636299</v>
      </c>
      <c r="P237" s="1">
        <v>1.6820401023637801</v>
      </c>
      <c r="Q237" s="1">
        <v>1.6445134199831299</v>
      </c>
      <c r="R237" s="1">
        <v>1.61278636436468</v>
      </c>
      <c r="S237" s="1">
        <v>1.62300465233047</v>
      </c>
      <c r="T237" s="1">
        <v>1.60414207686379</v>
      </c>
      <c r="U237" s="1">
        <v>1.6450285155393001</v>
      </c>
    </row>
    <row r="238" spans="1:23">
      <c r="A238" s="1" t="s">
        <v>1235</v>
      </c>
    </row>
    <row r="239" spans="1:23">
      <c r="A239" s="1" t="s">
        <v>1156</v>
      </c>
      <c r="B239" s="1">
        <v>0.33183588088170102</v>
      </c>
      <c r="C239" s="1">
        <v>0.36298989495391498</v>
      </c>
      <c r="D239" s="1">
        <v>0.37663455621599601</v>
      </c>
      <c r="E239" s="1">
        <v>0.39487041845484999</v>
      </c>
      <c r="F239" s="1">
        <v>0.34419534038366401</v>
      </c>
      <c r="G239" s="1">
        <v>0.339938232882046</v>
      </c>
      <c r="H239" s="1">
        <v>0.337817760358057</v>
      </c>
      <c r="I239" s="1">
        <v>0.35686941486580598</v>
      </c>
      <c r="J239" s="1">
        <v>0.37545980698485298</v>
      </c>
      <c r="K239" s="1">
        <v>0.37919462948925498</v>
      </c>
      <c r="L239" s="1">
        <v>0.415923415551885</v>
      </c>
      <c r="M239" s="1">
        <v>0.45453202700875001</v>
      </c>
      <c r="N239" s="1">
        <v>0.43664579446148899</v>
      </c>
      <c r="O239" s="1">
        <v>0.48729369600391798</v>
      </c>
      <c r="P239" s="1">
        <v>0.452933233030273</v>
      </c>
      <c r="Q239" s="1">
        <v>0.45757380041426898</v>
      </c>
      <c r="R239" s="1">
        <v>0.43242795316652799</v>
      </c>
      <c r="S239" s="1">
        <v>0.408969540137466</v>
      </c>
      <c r="T239" s="1">
        <v>0.39424654646314899</v>
      </c>
      <c r="U239" s="1">
        <v>0.41896686395135102</v>
      </c>
      <c r="V239" s="1">
        <v>0.34837689516473402</v>
      </c>
    </row>
    <row r="240" spans="1:23">
      <c r="A240" s="1" t="s">
        <v>1240</v>
      </c>
    </row>
    <row r="241" spans="1:23">
      <c r="A241" s="1" t="s">
        <v>1157</v>
      </c>
      <c r="B241" s="1">
        <v>0.93921127100625901</v>
      </c>
      <c r="C241" s="1">
        <v>0.93521280321364697</v>
      </c>
      <c r="D241" s="1">
        <v>0.98684003422539501</v>
      </c>
      <c r="E241" s="1">
        <v>1.0554910445774299</v>
      </c>
      <c r="F241" s="1">
        <v>1.11920541439895</v>
      </c>
      <c r="G241" s="1">
        <v>1.1663064586623699</v>
      </c>
      <c r="H241" s="1">
        <v>1.31162767272029</v>
      </c>
      <c r="I241" s="1">
        <v>1.2972290641454001</v>
      </c>
      <c r="J241" s="1">
        <v>1.33030292866397</v>
      </c>
      <c r="K241" s="1">
        <v>1.38591188070664</v>
      </c>
      <c r="L241" s="1">
        <v>1.47599090542698</v>
      </c>
      <c r="M241" s="1">
        <v>1.45268475139735</v>
      </c>
      <c r="N241" s="1">
        <v>1.48512882711451</v>
      </c>
      <c r="O241" s="1">
        <v>1.42490350686838</v>
      </c>
      <c r="P241" s="1">
        <v>1.3991887333422599</v>
      </c>
      <c r="Q241" s="1">
        <v>1.4592135619925499</v>
      </c>
      <c r="R241" s="1">
        <v>1.4881772515571099</v>
      </c>
      <c r="S241" s="1">
        <v>1.54271700684063</v>
      </c>
      <c r="T241" s="1">
        <v>1.5841271373680399</v>
      </c>
      <c r="U241" s="1">
        <v>1.6756001111991301</v>
      </c>
      <c r="V241" s="1">
        <v>1.5957545446194401</v>
      </c>
    </row>
    <row r="242" spans="1:23">
      <c r="A242" s="1" t="s">
        <v>1246</v>
      </c>
    </row>
    <row r="243" spans="1:23">
      <c r="A243" s="1" t="s">
        <v>1248</v>
      </c>
    </row>
    <row r="244" spans="1:23">
      <c r="A244" s="1" t="s">
        <v>1158</v>
      </c>
      <c r="B244" s="1">
        <v>2.7867878209335499</v>
      </c>
      <c r="C244" s="1">
        <v>2.8031639057720299</v>
      </c>
      <c r="D244" s="1">
        <v>2.6162261438976802</v>
      </c>
      <c r="E244" s="1">
        <v>2.8376707599673501</v>
      </c>
      <c r="F244" s="1">
        <v>3.0087732484101002</v>
      </c>
      <c r="G244" s="1">
        <v>3.3065864791586401</v>
      </c>
      <c r="H244" s="1">
        <v>3.2649600194845498</v>
      </c>
      <c r="I244" s="1">
        <v>3.5849997411831902</v>
      </c>
      <c r="J244" s="1">
        <v>4.3532844417550898</v>
      </c>
      <c r="K244" s="1">
        <v>3.1265586182035099</v>
      </c>
      <c r="L244" s="1">
        <v>3.4840756260541301</v>
      </c>
      <c r="M244" s="1">
        <v>3.94960689544678</v>
      </c>
      <c r="N244" s="1">
        <v>4.0971779823303196</v>
      </c>
      <c r="O244" s="1">
        <v>4.31729984283447</v>
      </c>
      <c r="P244" s="1">
        <v>4.3745689392089799</v>
      </c>
      <c r="Q244" s="1">
        <v>4.2398777008056596</v>
      </c>
      <c r="R244" s="1">
        <v>4.1067261695861799</v>
      </c>
      <c r="S244" s="1">
        <v>4.1624517440795898</v>
      </c>
      <c r="T244" s="1">
        <v>4.2915631444095697</v>
      </c>
      <c r="U244" s="1">
        <v>4.1742862368298699</v>
      </c>
      <c r="V244" s="1">
        <v>4.1616557490716799</v>
      </c>
    </row>
    <row r="245" spans="1:23">
      <c r="A245" s="1" t="s">
        <v>583</v>
      </c>
      <c r="B245" s="1">
        <v>0.50763427471230704</v>
      </c>
      <c r="C245" s="1">
        <v>0.51617893716086405</v>
      </c>
      <c r="D245" s="1">
        <v>0.51975137320089804</v>
      </c>
      <c r="E245" s="1">
        <v>0.52397472077752305</v>
      </c>
      <c r="F245" s="1">
        <v>0.52733921728023403</v>
      </c>
      <c r="G245" s="1">
        <v>0.53276472413778897</v>
      </c>
      <c r="H245" s="1">
        <v>0.53694106369246497</v>
      </c>
      <c r="I245" s="1">
        <v>0.53401388692153295</v>
      </c>
      <c r="J245" s="1">
        <v>0.55703699531611495</v>
      </c>
      <c r="K245" s="1">
        <v>0.56953462719608094</v>
      </c>
      <c r="L245" s="1">
        <v>0.584451240074083</v>
      </c>
      <c r="M245" s="1">
        <v>0.59633147716522195</v>
      </c>
      <c r="N245" s="1">
        <v>0.63482326269149802</v>
      </c>
      <c r="O245" s="1">
        <v>0.67052507400512695</v>
      </c>
      <c r="P245" s="1">
        <v>0.69972884654998802</v>
      </c>
      <c r="Q245" s="1">
        <v>0.74201995134353604</v>
      </c>
      <c r="R245" s="1">
        <v>0.76676547527313199</v>
      </c>
      <c r="S245" s="1">
        <v>0.79418015480041504</v>
      </c>
      <c r="T245" s="1">
        <v>0.83567912391476695</v>
      </c>
      <c r="U245" s="1">
        <v>0.88147085817050497</v>
      </c>
      <c r="V245" s="1">
        <v>0.91511272726935</v>
      </c>
    </row>
    <row r="246" spans="1:23">
      <c r="A246" s="1" t="s">
        <v>455</v>
      </c>
      <c r="B246" s="1">
        <v>0.28162999999999999</v>
      </c>
      <c r="C246" s="1">
        <v>0.41507100000000002</v>
      </c>
      <c r="D246" s="1">
        <v>0.59125099999999997</v>
      </c>
      <c r="E246" s="1">
        <v>0.73654600000000003</v>
      </c>
      <c r="F246" s="1">
        <v>0.79217300000000002</v>
      </c>
      <c r="G246" s="1">
        <v>0.83458900000000003</v>
      </c>
      <c r="H246" s="1">
        <v>0.84180500000000003</v>
      </c>
      <c r="I246" s="1">
        <v>0.85130899999999998</v>
      </c>
      <c r="J246" s="1">
        <v>0.87995999999999996</v>
      </c>
      <c r="K246" s="1">
        <v>0.90462799999999999</v>
      </c>
      <c r="L246" s="1">
        <v>0.92030900000000004</v>
      </c>
      <c r="M246" s="1">
        <v>0.96617600000000003</v>
      </c>
      <c r="N246" s="1">
        <v>1.0198560000000001</v>
      </c>
      <c r="O246" s="1">
        <v>1.0702940000000001</v>
      </c>
      <c r="P246" s="1">
        <v>1.1045039999999999</v>
      </c>
      <c r="Q246" s="1">
        <v>1.162452</v>
      </c>
      <c r="R246" s="1">
        <v>1.241052</v>
      </c>
      <c r="S246" s="1">
        <v>1.38398</v>
      </c>
      <c r="T246" s="1">
        <v>1.6326099999999999</v>
      </c>
      <c r="U246" s="1">
        <v>1.9262570000000001</v>
      </c>
      <c r="V246" s="1">
        <v>2.1971530000000001</v>
      </c>
      <c r="W246" s="1">
        <v>2.6062240000000001</v>
      </c>
    </row>
    <row r="247" spans="1:23">
      <c r="A247" s="1" t="s">
        <v>1159</v>
      </c>
      <c r="B247" s="1">
        <v>1.03896993333411</v>
      </c>
      <c r="C247" s="1">
        <v>1.07679247035111</v>
      </c>
      <c r="D247" s="1">
        <v>1.0951771236135699</v>
      </c>
      <c r="E247" s="1">
        <v>1.0994360387701201</v>
      </c>
      <c r="F247" s="1">
        <v>1.13056343513857</v>
      </c>
      <c r="G247" s="1">
        <v>1.11282902537163</v>
      </c>
      <c r="H247" s="1">
        <v>1.1247008081454</v>
      </c>
      <c r="I247" s="1">
        <v>1.0938386646686</v>
      </c>
      <c r="J247" s="1">
        <v>1.11077368180866</v>
      </c>
      <c r="K247" s="1">
        <v>1.10996538334392</v>
      </c>
      <c r="L247" s="1">
        <v>1.12618221901819</v>
      </c>
      <c r="M247" s="1">
        <v>1.1099262718756799</v>
      </c>
      <c r="N247" s="1">
        <v>1.09784800144485</v>
      </c>
      <c r="O247" s="1">
        <v>1.1016923927912701</v>
      </c>
      <c r="P247" s="1">
        <v>1.1364757522222</v>
      </c>
      <c r="Q247" s="1">
        <v>1.1778824179907901</v>
      </c>
      <c r="R247" s="1">
        <v>1.1773112021285701</v>
      </c>
      <c r="S247" s="1">
        <v>1.1967517071090701</v>
      </c>
      <c r="T247" s="1">
        <v>1.2262388139217999</v>
      </c>
      <c r="U247" s="1">
        <v>1.30947144097098</v>
      </c>
      <c r="V247" s="1">
        <v>1.2938776061174</v>
      </c>
    </row>
    <row r="248" spans="1:23">
      <c r="A248" s="1" t="s">
        <v>1101</v>
      </c>
      <c r="B248" s="1">
        <v>276.018793482776</v>
      </c>
      <c r="C248" s="1">
        <v>283.10213951953301</v>
      </c>
      <c r="D248" s="1">
        <v>298.85187569845903</v>
      </c>
      <c r="E248" s="1">
        <v>318.10377672802701</v>
      </c>
      <c r="F248" s="1">
        <v>331.09346552638499</v>
      </c>
      <c r="G248" s="1">
        <v>341.72564532231002</v>
      </c>
      <c r="H248" s="1">
        <v>349.96441462841801</v>
      </c>
      <c r="I248" s="1">
        <v>371.82089368840502</v>
      </c>
      <c r="J248" s="1">
        <v>424.47143351694501</v>
      </c>
      <c r="K248" s="1">
        <v>459.34886175789501</v>
      </c>
      <c r="L248" s="1">
        <v>496.86978466257699</v>
      </c>
      <c r="M248" s="1">
        <v>546.07312011718795</v>
      </c>
      <c r="N248" s="1">
        <v>649.70495605468795</v>
      </c>
      <c r="O248" s="1">
        <v>706.30926513671898</v>
      </c>
      <c r="P248" s="1">
        <v>759.031494140625</v>
      </c>
      <c r="Q248" s="1">
        <v>803.8115234375</v>
      </c>
      <c r="R248" s="1">
        <v>848.67956542968795</v>
      </c>
      <c r="S248" s="1">
        <v>885.08288574218795</v>
      </c>
      <c r="T248" s="1">
        <v>890.04894405431003</v>
      </c>
      <c r="U248" s="1">
        <v>895.99335853811601</v>
      </c>
      <c r="V248" s="1">
        <v>888.36639640629903</v>
      </c>
    </row>
    <row r="249" spans="1:23">
      <c r="A249" s="1" t="s">
        <v>1110</v>
      </c>
      <c r="B249" s="1">
        <v>560.94083862534103</v>
      </c>
      <c r="C249" s="1">
        <v>573.79089044947602</v>
      </c>
      <c r="D249" s="1">
        <v>546.95276834543495</v>
      </c>
      <c r="E249" s="1">
        <v>578.90120713096996</v>
      </c>
      <c r="F249" s="1">
        <v>651.59539200221002</v>
      </c>
      <c r="G249" s="1">
        <v>620.90895294627001</v>
      </c>
      <c r="H249" s="1">
        <v>617.16887122512196</v>
      </c>
      <c r="I249" s="1">
        <v>645.02612977664796</v>
      </c>
      <c r="J249" s="1">
        <v>672.98689502162301</v>
      </c>
      <c r="K249" s="1">
        <v>765.18462134812</v>
      </c>
      <c r="L249" s="1">
        <v>799.01226386481801</v>
      </c>
      <c r="M249" s="1">
        <v>856.168212890625</v>
      </c>
      <c r="N249" s="1">
        <v>1003.27728271484</v>
      </c>
      <c r="O249" s="1">
        <v>1042.08117675781</v>
      </c>
      <c r="P249" s="1">
        <v>1073.74743652344</v>
      </c>
      <c r="Q249" s="1">
        <v>1125.47131347656</v>
      </c>
      <c r="R249" s="1">
        <v>1211.94018554688</v>
      </c>
      <c r="S249" s="1">
        <v>1270.6083984375</v>
      </c>
      <c r="T249" s="1">
        <v>1295.9508887398299</v>
      </c>
      <c r="U249" s="1">
        <v>1311.41875647397</v>
      </c>
      <c r="V249" s="1">
        <v>1331.06677456788</v>
      </c>
    </row>
    <row r="250" spans="1:23">
      <c r="A250" s="1" t="s">
        <v>1111</v>
      </c>
      <c r="B250" s="1">
        <v>0.83972921321897198</v>
      </c>
      <c r="C250" s="1">
        <v>0.90552722030659105</v>
      </c>
      <c r="D250" s="1">
        <v>0.93826022449114799</v>
      </c>
      <c r="E250" s="1">
        <v>0.99635963012316897</v>
      </c>
      <c r="F250" s="1">
        <v>1.1187894405582499</v>
      </c>
      <c r="G250" s="1">
        <v>1.3464329885549899</v>
      </c>
      <c r="H250" s="1">
        <v>1.50098889170834</v>
      </c>
      <c r="I250" s="1">
        <v>1.7956147189343901</v>
      </c>
      <c r="J250" s="1">
        <v>2.2725010267558301</v>
      </c>
      <c r="K250" s="1">
        <v>2.54015144814589</v>
      </c>
      <c r="L250" s="1">
        <v>2.8542134151096001</v>
      </c>
      <c r="M250" s="1">
        <v>3.19231104850769</v>
      </c>
      <c r="N250" s="1">
        <v>3.2973940372467001</v>
      </c>
      <c r="O250" s="1">
        <v>3.0125505924224898</v>
      </c>
      <c r="P250" s="1">
        <v>3.43497610092163</v>
      </c>
      <c r="Q250" s="1">
        <v>4.5662255287170401</v>
      </c>
      <c r="R250" s="1">
        <v>5.0142064094543501</v>
      </c>
      <c r="S250" s="1">
        <v>5.9162887122680496</v>
      </c>
      <c r="T250" s="1">
        <v>6.6672312617524403</v>
      </c>
      <c r="U250" s="1">
        <v>7.0904509433616996</v>
      </c>
      <c r="V250" s="1">
        <v>7.69183196532145</v>
      </c>
    </row>
    <row r="251" spans="1:23">
      <c r="A251" s="1" t="s">
        <v>1205</v>
      </c>
    </row>
    <row r="252" spans="1:23">
      <c r="A252" s="1" t="s">
        <v>334</v>
      </c>
      <c r="B252" s="1">
        <v>8.1115787280977099</v>
      </c>
      <c r="C252" s="1">
        <v>8.3205877916887001</v>
      </c>
      <c r="D252" s="1">
        <v>9.2244275815231394</v>
      </c>
      <c r="E252" s="1">
        <v>10.5542954232774</v>
      </c>
      <c r="F252" s="1">
        <v>11.3161579126446</v>
      </c>
      <c r="G252" s="1">
        <v>11.048705753072801</v>
      </c>
      <c r="H252" s="1">
        <v>11.424816349552501</v>
      </c>
      <c r="I252" s="1">
        <v>12.1737251875011</v>
      </c>
      <c r="J252" s="1">
        <v>12.899574741838901</v>
      </c>
      <c r="K252" s="1">
        <v>13.793817557842001</v>
      </c>
      <c r="L252" s="1">
        <v>14.3040061606831</v>
      </c>
      <c r="M252" s="1">
        <v>15.2736978530884</v>
      </c>
      <c r="N252" s="1">
        <v>16.9381217956543</v>
      </c>
      <c r="O252" s="1">
        <v>18.172880172729499</v>
      </c>
      <c r="P252" s="1">
        <v>19.472618103027301</v>
      </c>
      <c r="Q252" s="1">
        <v>21.104578018188501</v>
      </c>
      <c r="R252" s="1">
        <v>22.453821182251001</v>
      </c>
      <c r="S252" s="1">
        <v>23.293806076049801</v>
      </c>
      <c r="T252" s="1">
        <v>24.363152039618001</v>
      </c>
      <c r="U252" s="1">
        <v>25.9759061422792</v>
      </c>
      <c r="V252" s="1">
        <v>28.456062985243602</v>
      </c>
    </row>
    <row r="253" spans="1:23">
      <c r="A253" s="1" t="s">
        <v>155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</row>
    <row r="254" spans="1:23">
      <c r="A254" s="1" t="s">
        <v>1112</v>
      </c>
      <c r="B254" s="1">
        <v>52.900701346450703</v>
      </c>
      <c r="C254" s="1">
        <v>75.183605329003498</v>
      </c>
      <c r="D254" s="1">
        <v>107.676276893213</v>
      </c>
      <c r="E254" s="1">
        <v>134.00738495191999</v>
      </c>
      <c r="F254" s="1">
        <v>151.266629492091</v>
      </c>
      <c r="G254" s="1">
        <v>178.13555904779199</v>
      </c>
      <c r="H254" s="1">
        <v>213.47627876930201</v>
      </c>
      <c r="I254" s="1">
        <v>253.41398638730499</v>
      </c>
      <c r="J254" s="1">
        <v>315.17700212054302</v>
      </c>
      <c r="K254" s="1">
        <v>366.78529794983098</v>
      </c>
      <c r="L254" s="1">
        <v>505.295734418878</v>
      </c>
      <c r="M254" s="1">
        <v>601.99839932491204</v>
      </c>
      <c r="N254" s="1">
        <v>706.90461325190802</v>
      </c>
      <c r="O254" s="1">
        <v>804.31010352320004</v>
      </c>
      <c r="P254" s="1">
        <v>935.23724584663205</v>
      </c>
      <c r="Q254" s="1">
        <v>1058.67768324759</v>
      </c>
      <c r="R254" s="1">
        <v>1179.95670461133</v>
      </c>
      <c r="S254" s="1">
        <v>1432.90717805091</v>
      </c>
      <c r="T254" s="1">
        <v>1776.8838900574899</v>
      </c>
      <c r="U254" s="1">
        <v>2058.3786902145798</v>
      </c>
      <c r="V254" s="1">
        <v>2275.91291494189</v>
      </c>
    </row>
    <row r="255" spans="1:23">
      <c r="A255" s="1" t="s">
        <v>1152</v>
      </c>
      <c r="B255" s="1">
        <v>1.5954468214333399</v>
      </c>
      <c r="C255" s="1">
        <v>1.6657962435334399</v>
      </c>
      <c r="D255" s="1">
        <v>1.6565732004273499</v>
      </c>
      <c r="E255" s="1">
        <v>1.5753798135000501</v>
      </c>
      <c r="F255" s="1">
        <v>1.59564972255712</v>
      </c>
      <c r="G255" s="1">
        <v>1.59305559915553</v>
      </c>
      <c r="H255" s="1">
        <v>1.5928281211970501</v>
      </c>
      <c r="I255" s="1">
        <v>1.68160210436971</v>
      </c>
      <c r="J255" s="1">
        <v>1.6498495253996399</v>
      </c>
      <c r="K255" s="1">
        <v>1.62315534944491</v>
      </c>
      <c r="L255" s="1">
        <v>1.67559418346064</v>
      </c>
      <c r="M255" s="1">
        <v>1.63591921329498</v>
      </c>
      <c r="N255" s="1">
        <v>1.6499547958373999</v>
      </c>
      <c r="O255" s="1">
        <v>1.6432464122772199</v>
      </c>
      <c r="P255" s="1">
        <v>1.59582412242889</v>
      </c>
      <c r="Q255" s="1">
        <v>1.6051045656204199</v>
      </c>
      <c r="R255" s="1">
        <v>1.5334950685501101</v>
      </c>
      <c r="S255" s="1">
        <v>1.59044253826141</v>
      </c>
      <c r="T255" s="1">
        <v>1.55701554761922</v>
      </c>
      <c r="U255" s="1">
        <v>1.54735291403325</v>
      </c>
      <c r="V255" s="1">
        <v>1.5466836061643601</v>
      </c>
    </row>
    <row r="256" spans="1:23">
      <c r="A256" s="1" t="s">
        <v>1162</v>
      </c>
      <c r="B256" s="1">
        <v>0.28024409208483297</v>
      </c>
      <c r="C256" s="1">
        <v>0.29615891847278802</v>
      </c>
      <c r="D256" s="1">
        <v>0.38782464436353498</v>
      </c>
      <c r="E256" s="1">
        <v>0.51376524854165495</v>
      </c>
      <c r="F256" s="1">
        <v>0.67016541033515598</v>
      </c>
      <c r="G256" s="1">
        <v>0.842323679174382</v>
      </c>
      <c r="H256" s="1">
        <v>0.96396443224873496</v>
      </c>
      <c r="I256" s="1">
        <v>1.0837691997246299</v>
      </c>
      <c r="J256" s="1">
        <v>1.38342598543665</v>
      </c>
      <c r="K256" s="1">
        <v>1.48048481712201</v>
      </c>
      <c r="L256" s="1">
        <v>2.13578073803312</v>
      </c>
      <c r="M256" s="1">
        <v>2.6809825897216801</v>
      </c>
    </row>
    <row r="257" spans="1:22">
      <c r="A257" s="1" t="s">
        <v>1206</v>
      </c>
      <c r="M257" s="1">
        <v>1.0275467634201001</v>
      </c>
      <c r="N257" s="1">
        <v>1.09735071659088</v>
      </c>
      <c r="O257" s="1">
        <v>1.09354901313782</v>
      </c>
      <c r="P257" s="1">
        <v>1.0894138813018801</v>
      </c>
      <c r="Q257" s="1">
        <v>1.10523045063019</v>
      </c>
      <c r="R257" s="1">
        <v>1.0975375175476101</v>
      </c>
      <c r="S257" s="1">
        <v>1.0687785148620601</v>
      </c>
    </row>
    <row r="258" spans="1:22">
      <c r="A258" s="1" t="s">
        <v>1207</v>
      </c>
    </row>
    <row r="259" spans="1:22">
      <c r="A259" s="1" t="s">
        <v>1116</v>
      </c>
      <c r="B259" s="1">
        <v>2781.0378954881498</v>
      </c>
      <c r="C259" s="1">
        <v>2792.7081054779601</v>
      </c>
      <c r="D259" s="1">
        <v>2878.4058936507099</v>
      </c>
      <c r="E259" s="1">
        <v>3026.83784945972</v>
      </c>
      <c r="F259" s="1">
        <v>3196.0559276980898</v>
      </c>
      <c r="G259" s="1">
        <v>3682.5416055834498</v>
      </c>
      <c r="H259" s="1">
        <v>3880.6599678529901</v>
      </c>
      <c r="I259" s="1">
        <v>4143.0815521614704</v>
      </c>
      <c r="J259" s="1">
        <v>4985.48135352596</v>
      </c>
      <c r="K259" s="1">
        <v>5255.2963355968204</v>
      </c>
      <c r="L259" s="1">
        <v>5821.9955208609999</v>
      </c>
      <c r="M259" s="1">
        <v>6915.33544921875</v>
      </c>
      <c r="N259" s="1">
        <v>7167.056640625</v>
      </c>
      <c r="O259" s="1">
        <v>7369.89453125</v>
      </c>
      <c r="P259" s="1">
        <v>7473.41943359375</v>
      </c>
      <c r="Q259" s="1">
        <v>7413.45556640625</v>
      </c>
      <c r="R259" s="1">
        <v>7315.61279296875</v>
      </c>
      <c r="S259" s="1">
        <v>7395.33837890625</v>
      </c>
      <c r="T259" s="1">
        <v>7467.3500787053599</v>
      </c>
      <c r="U259" s="1">
        <v>7467.6029685869898</v>
      </c>
      <c r="V259" s="1">
        <v>7474.1173110216296</v>
      </c>
    </row>
    <row r="260" spans="1:22">
      <c r="A260" s="1" t="s">
        <v>1161</v>
      </c>
      <c r="B260" s="1">
        <v>91.016613794632093</v>
      </c>
      <c r="C260" s="1">
        <v>92.291534159228206</v>
      </c>
      <c r="D260" s="1">
        <v>93.465971454764102</v>
      </c>
      <c r="E260" s="1">
        <v>92.494807526929094</v>
      </c>
      <c r="F260" s="1">
        <v>91.976604635011299</v>
      </c>
      <c r="G260" s="1">
        <v>89.5723577240921</v>
      </c>
      <c r="H260" s="1">
        <v>90.308327008441395</v>
      </c>
      <c r="I260" s="1">
        <v>93.026453080380705</v>
      </c>
      <c r="J260" s="1">
        <v>97.787417209207703</v>
      </c>
      <c r="K260" s="1">
        <v>99.526918874394894</v>
      </c>
      <c r="L260" s="1">
        <v>99.826625234685594</v>
      </c>
      <c r="M260" s="1">
        <v>100.51104325685201</v>
      </c>
      <c r="N260" s="1">
        <v>98.162053771356597</v>
      </c>
      <c r="O260" s="1">
        <v>99.364946855207506</v>
      </c>
      <c r="P260" s="1">
        <v>98.928292163458707</v>
      </c>
      <c r="Q260" s="1">
        <v>103.735876111981</v>
      </c>
      <c r="R260" s="1">
        <v>104.27772215828401</v>
      </c>
      <c r="S260" s="1">
        <v>107.843186970521</v>
      </c>
      <c r="T260" s="1">
        <v>108.692881342577</v>
      </c>
      <c r="U260" s="1">
        <v>109.342492604456</v>
      </c>
      <c r="V260" s="1">
        <v>109.985664961162</v>
      </c>
    </row>
    <row r="261" spans="1:22">
      <c r="A261" s="1" t="s">
        <v>1208</v>
      </c>
    </row>
    <row r="262" spans="1:22">
      <c r="A262" s="1" t="s">
        <v>1140</v>
      </c>
      <c r="B262" s="1">
        <v>1.40384007035304</v>
      </c>
      <c r="C262" s="1">
        <v>1.4070455620846301</v>
      </c>
      <c r="D262" s="1">
        <v>1.4188494716331801</v>
      </c>
      <c r="E262" s="1">
        <v>1.42944357782958</v>
      </c>
      <c r="F262" s="1">
        <v>1.4896177212902599</v>
      </c>
      <c r="G262" s="1">
        <v>1.4569858286336099</v>
      </c>
      <c r="H262" s="1">
        <v>1.54518998049281</v>
      </c>
      <c r="I262" s="1">
        <v>1.5026959865034</v>
      </c>
      <c r="J262" s="1">
        <v>1.6008199412865001</v>
      </c>
      <c r="K262" s="1">
        <v>1.62743862858271</v>
      </c>
      <c r="L262" s="1">
        <v>1.687696575461</v>
      </c>
      <c r="M262" s="1">
        <v>1.66056811905465</v>
      </c>
      <c r="N262" s="1">
        <v>1.68869178943971</v>
      </c>
      <c r="O262" s="1">
        <v>1.67480073002597</v>
      </c>
      <c r="P262" s="1">
        <v>1.6418889246953501</v>
      </c>
      <c r="Q262" s="1">
        <v>1.6945336953190699</v>
      </c>
      <c r="R262" s="1">
        <v>1.69669174747897</v>
      </c>
      <c r="S262" s="1">
        <v>1.6640120172961499</v>
      </c>
      <c r="T262" s="1">
        <v>1.64377749662756</v>
      </c>
      <c r="U262" s="1">
        <v>1.6373278244337599</v>
      </c>
      <c r="V262" s="1">
        <v>1.6213081649338399</v>
      </c>
    </row>
    <row r="263" spans="1:22">
      <c r="A263" s="1" t="s">
        <v>1105</v>
      </c>
      <c r="J263" s="1">
        <v>0.30959734980008602</v>
      </c>
      <c r="K263" s="1">
        <v>0.298549973702609</v>
      </c>
      <c r="L263" s="1">
        <v>0.31397596123486599</v>
      </c>
      <c r="M263" s="1">
        <v>0.32693860000000002</v>
      </c>
      <c r="N263" s="1">
        <v>0.33021563497346201</v>
      </c>
      <c r="O263" s="1">
        <v>0.33272096456969102</v>
      </c>
      <c r="P263" s="1">
        <v>0.33962210370302398</v>
      </c>
      <c r="Q263" s="1">
        <v>0.33912802953966598</v>
      </c>
      <c r="R263" s="1">
        <v>0.33937771715279402</v>
      </c>
      <c r="S263" s="1">
        <v>0.34007729291405198</v>
      </c>
      <c r="T263" s="1">
        <v>0.33708151756416199</v>
      </c>
      <c r="U263" s="1">
        <v>0.33435857337870001</v>
      </c>
      <c r="V263" s="1">
        <v>0.33493972375489101</v>
      </c>
    </row>
    <row r="264" spans="1:22">
      <c r="A264" s="1" t="s">
        <v>1163</v>
      </c>
      <c r="B264" s="1">
        <v>30.287587645151699</v>
      </c>
      <c r="C264" s="1">
        <v>30.424429258621299</v>
      </c>
      <c r="D264" s="1">
        <v>32.5392328559033</v>
      </c>
      <c r="E264" s="1">
        <v>35.421756051139198</v>
      </c>
      <c r="F264" s="1">
        <v>39.358577569389801</v>
      </c>
      <c r="G264" s="1">
        <v>45.225987273075198</v>
      </c>
      <c r="H264" s="1">
        <v>49.881713622591903</v>
      </c>
      <c r="I264" s="1">
        <v>53.869262723466797</v>
      </c>
      <c r="J264" s="1">
        <v>63.609319343499301</v>
      </c>
      <c r="K264" s="1">
        <v>57.6325942608986</v>
      </c>
      <c r="L264" s="1">
        <v>70.422675411162501</v>
      </c>
      <c r="M264" s="1">
        <v>81.476760864257798</v>
      </c>
      <c r="N264" s="1">
        <v>88.792991638183594</v>
      </c>
      <c r="O264" s="1">
        <v>93.631317138671903</v>
      </c>
    </row>
    <row r="265" spans="1:22">
      <c r="A265" s="1" t="s">
        <v>1094</v>
      </c>
      <c r="B265" s="1">
        <v>2.7557592128983801</v>
      </c>
      <c r="C265" s="1">
        <v>2.90695953317329</v>
      </c>
      <c r="D265" s="1">
        <v>3.2204923393469298</v>
      </c>
      <c r="E265" s="1">
        <v>3.3639948291569199</v>
      </c>
      <c r="F265" s="1">
        <v>3.4737329103790402</v>
      </c>
      <c r="G265" s="1">
        <v>3.55734871940611</v>
      </c>
      <c r="H265" s="1">
        <v>3.6622614797016699</v>
      </c>
      <c r="I265" s="1">
        <v>3.86053812501076</v>
      </c>
      <c r="J265" s="1">
        <v>4.0841608664998903</v>
      </c>
      <c r="K265" s="1">
        <v>4.4043965145159198</v>
      </c>
      <c r="L265" s="1">
        <v>4.6204768473451203</v>
      </c>
      <c r="M265" s="1">
        <v>4.7766284942626998</v>
      </c>
      <c r="N265" s="1">
        <v>5.1078166961669904</v>
      </c>
      <c r="O265" s="1">
        <v>5.2957382202148402</v>
      </c>
      <c r="P265" s="1">
        <v>5.5718913078308097</v>
      </c>
      <c r="Q265" s="1">
        <v>5.82525587081909</v>
      </c>
      <c r="R265" s="1">
        <v>6.1590933799743697</v>
      </c>
      <c r="S265" s="1">
        <v>6.4267010688781703</v>
      </c>
      <c r="T265" s="1">
        <v>6.5243240187589198</v>
      </c>
      <c r="U265" s="1">
        <v>6.69830769087487</v>
      </c>
      <c r="V265" s="1">
        <v>6.9675517867432104</v>
      </c>
    </row>
    <row r="266" spans="1:22">
      <c r="A266" s="1" t="s">
        <v>1120</v>
      </c>
      <c r="B266" s="1">
        <v>0.65375302977399696</v>
      </c>
      <c r="C266" s="1">
        <v>0.80177065861595098</v>
      </c>
      <c r="D266" s="1">
        <v>0.94233587159666099</v>
      </c>
      <c r="E266" s="1">
        <v>1.0880535772676101</v>
      </c>
      <c r="F266" s="1">
        <v>1.26843423713298</v>
      </c>
      <c r="G266" s="1">
        <v>1.43493370508165</v>
      </c>
      <c r="H266" s="1">
        <v>1.5953275149064901</v>
      </c>
      <c r="I266" s="1">
        <v>1.7550980273394501</v>
      </c>
      <c r="J266" s="1">
        <v>1.90479400220755</v>
      </c>
      <c r="K266" s="1">
        <v>1.9954820043763399</v>
      </c>
      <c r="L266" s="1">
        <v>2.2476788762725901</v>
      </c>
      <c r="M266" s="1">
        <v>2.4463460445404102</v>
      </c>
      <c r="N266" s="1">
        <v>2.6514914035797101</v>
      </c>
      <c r="O266" s="1">
        <v>2.8328611850738499</v>
      </c>
      <c r="P266" s="1">
        <v>3.0648221969604501</v>
      </c>
      <c r="Q266" s="1">
        <v>3.3664817810058598</v>
      </c>
      <c r="R266" s="1">
        <v>3.8788266181945801</v>
      </c>
      <c r="S266" s="1">
        <v>4.1925802230834996</v>
      </c>
      <c r="T266" s="1">
        <v>4.39772767007846</v>
      </c>
      <c r="U266" s="1">
        <v>4.6504100471447396</v>
      </c>
      <c r="V266" s="1">
        <v>5.2265487977720797</v>
      </c>
    </row>
    <row r="267" spans="1:22">
      <c r="A267" s="1" t="s">
        <v>1122</v>
      </c>
      <c r="B267" s="1">
        <v>0.38832318632398399</v>
      </c>
      <c r="C267" s="1">
        <v>0.379491056315376</v>
      </c>
      <c r="D267" s="1">
        <v>0.38371696702144298</v>
      </c>
      <c r="E267" s="1">
        <v>0.409877145862373</v>
      </c>
      <c r="F267" s="1">
        <v>0.42951167912894</v>
      </c>
      <c r="G267" s="1">
        <v>0.43793263166531798</v>
      </c>
      <c r="H267" s="1">
        <v>0.41649263866195402</v>
      </c>
      <c r="I267" s="1">
        <v>0.40922680320320798</v>
      </c>
      <c r="J267" s="1">
        <v>0.406834712234659</v>
      </c>
      <c r="K267" s="1">
        <v>0.50338476408203003</v>
      </c>
      <c r="L267" s="1">
        <v>0.51797974827051296</v>
      </c>
      <c r="M267" s="1">
        <v>0.52033537626266502</v>
      </c>
      <c r="N267" s="1">
        <v>0.54924583435058605</v>
      </c>
      <c r="O267" s="1">
        <v>0.558424472808838</v>
      </c>
      <c r="P267" s="1">
        <v>0.54925185441970803</v>
      </c>
      <c r="Q267" s="1">
        <v>0.53930419683456399</v>
      </c>
      <c r="R267" s="1">
        <v>0.521861791610718</v>
      </c>
      <c r="S267" s="1">
        <v>0.40788508420243902</v>
      </c>
      <c r="T267" s="1">
        <v>0.636531060784711</v>
      </c>
      <c r="U267" s="1">
        <v>3.3821726978708999</v>
      </c>
      <c r="V267" s="1">
        <v>22.0083918081849</v>
      </c>
    </row>
  </sheetData>
  <sheetProtection algorithmName="SHA-512" hashValue="ij/AqGNGD4G3ssP6krKe8CHV6isNsdaZXGKs3IxpQAz0VQZBMsFFFQlhOpBQoW1qdoaof3nrzVio17WUYsMmJg==" saltValue="KjtwItToyqDz4XLRMLAdC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3267-7544-4D0E-AC13-56584C297E36}">
  <sheetPr codeName="Sheet5"/>
  <dimension ref="A1:AJ219"/>
  <sheetViews>
    <sheetView workbookViewId="0">
      <selection activeCell="F21" sqref="F21"/>
    </sheetView>
  </sheetViews>
  <sheetFormatPr baseColWidth="10" defaultColWidth="8.33203125" defaultRowHeight="13"/>
  <cols>
    <col min="1" max="1" width="26" style="29" bestFit="1" customWidth="1"/>
    <col min="2" max="36" width="8.33203125" style="28"/>
    <col min="37" max="16384" width="8.33203125" style="29"/>
  </cols>
  <sheetData>
    <row r="1" spans="1:36">
      <c r="A1" s="134" t="s">
        <v>1164</v>
      </c>
      <c r="B1" s="28">
        <v>1987</v>
      </c>
      <c r="C1" s="28">
        <v>1988</v>
      </c>
      <c r="D1" s="28">
        <v>1989</v>
      </c>
      <c r="E1" s="28">
        <v>1990</v>
      </c>
      <c r="F1" s="28">
        <v>1991</v>
      </c>
      <c r="G1" s="28">
        <v>1992</v>
      </c>
      <c r="H1" s="28">
        <v>1993</v>
      </c>
      <c r="I1" s="28">
        <v>1994</v>
      </c>
      <c r="J1" s="28">
        <v>1995</v>
      </c>
      <c r="K1" s="28">
        <v>1996</v>
      </c>
      <c r="L1" s="28">
        <v>1997</v>
      </c>
      <c r="M1" s="28">
        <v>1998</v>
      </c>
      <c r="N1" s="28">
        <v>1999</v>
      </c>
      <c r="O1" s="28">
        <v>2000</v>
      </c>
      <c r="P1" s="28">
        <v>2001</v>
      </c>
      <c r="Q1" s="28">
        <v>2002</v>
      </c>
      <c r="R1" s="28">
        <v>2003</v>
      </c>
      <c r="S1" s="28">
        <v>2004</v>
      </c>
      <c r="T1" s="28">
        <v>2005</v>
      </c>
      <c r="U1" s="28">
        <v>2006</v>
      </c>
      <c r="V1" s="28">
        <v>2007</v>
      </c>
      <c r="W1" s="28">
        <v>2008</v>
      </c>
      <c r="X1" s="28">
        <v>2009</v>
      </c>
      <c r="Y1" s="28">
        <v>2010</v>
      </c>
      <c r="Z1" s="28">
        <v>2011</v>
      </c>
      <c r="AA1" s="28">
        <v>2012</v>
      </c>
      <c r="AB1" s="28">
        <v>2013</v>
      </c>
      <c r="AC1" s="28">
        <v>2014</v>
      </c>
      <c r="AD1" s="28">
        <v>2015</v>
      </c>
      <c r="AE1" s="28">
        <v>2016</v>
      </c>
      <c r="AF1" s="28">
        <v>2017</v>
      </c>
      <c r="AG1" s="28">
        <v>2018</v>
      </c>
      <c r="AH1" s="28">
        <v>2019</v>
      </c>
      <c r="AI1" s="28">
        <v>2020</v>
      </c>
      <c r="AJ1" s="28">
        <v>2021</v>
      </c>
    </row>
    <row r="2" spans="1:36">
      <c r="A2" s="29" t="s">
        <v>1002</v>
      </c>
      <c r="B2" s="28" t="s">
        <v>1271</v>
      </c>
      <c r="C2" s="28" t="s">
        <v>1271</v>
      </c>
      <c r="D2" s="28" t="s">
        <v>1271</v>
      </c>
      <c r="E2" s="28" t="s">
        <v>1271</v>
      </c>
      <c r="F2" s="28" t="s">
        <v>1271</v>
      </c>
      <c r="G2" s="28" t="s">
        <v>1271</v>
      </c>
      <c r="H2" s="28" t="s">
        <v>1271</v>
      </c>
      <c r="I2" s="28" t="s">
        <v>1271</v>
      </c>
      <c r="J2" s="28" t="s">
        <v>1271</v>
      </c>
      <c r="K2" s="28" t="s">
        <v>1271</v>
      </c>
      <c r="L2" s="28" t="s">
        <v>1271</v>
      </c>
      <c r="M2" s="28" t="s">
        <v>1271</v>
      </c>
      <c r="N2" s="28" t="s">
        <v>1271</v>
      </c>
      <c r="O2" s="28" t="s">
        <v>1271</v>
      </c>
      <c r="P2" s="28" t="s">
        <v>1271</v>
      </c>
      <c r="Q2" s="28" t="s">
        <v>1271</v>
      </c>
      <c r="R2" s="28" t="s">
        <v>1271</v>
      </c>
      <c r="S2" s="28" t="s">
        <v>1271</v>
      </c>
      <c r="T2" s="28" t="s">
        <v>1271</v>
      </c>
      <c r="U2" s="28" t="s">
        <v>1271</v>
      </c>
      <c r="V2" s="28" t="s">
        <v>1271</v>
      </c>
      <c r="W2" s="28" t="s">
        <v>1271</v>
      </c>
      <c r="X2" s="28" t="s">
        <v>1271</v>
      </c>
      <c r="Y2" s="28" t="s">
        <v>1271</v>
      </c>
      <c r="Z2" s="28" t="s">
        <v>1271</v>
      </c>
      <c r="AA2" s="28" t="s">
        <v>1271</v>
      </c>
      <c r="AB2" s="28" t="s">
        <v>1271</v>
      </c>
      <c r="AC2" s="28" t="s">
        <v>1271</v>
      </c>
      <c r="AD2" s="28" t="s">
        <v>1271</v>
      </c>
      <c r="AE2" s="28" t="s">
        <v>1271</v>
      </c>
      <c r="AF2" s="28" t="s">
        <v>1271</v>
      </c>
      <c r="AG2" s="28" t="s">
        <v>1271</v>
      </c>
      <c r="AH2" s="28" t="s">
        <v>1271</v>
      </c>
      <c r="AI2" s="28" t="s">
        <v>1271</v>
      </c>
      <c r="AJ2" s="28" t="s">
        <v>1271</v>
      </c>
    </row>
    <row r="3" spans="1:36">
      <c r="A3" s="29" t="s">
        <v>1001</v>
      </c>
      <c r="B3" s="28" t="s">
        <v>1210</v>
      </c>
      <c r="C3" s="28" t="s">
        <v>1210</v>
      </c>
      <c r="D3" s="28" t="s">
        <v>1210</v>
      </c>
      <c r="E3" s="28" t="s">
        <v>1272</v>
      </c>
      <c r="F3" s="28" t="s">
        <v>1272</v>
      </c>
      <c r="G3" s="28" t="s">
        <v>1272</v>
      </c>
      <c r="H3" s="28" t="s">
        <v>1271</v>
      </c>
      <c r="I3" s="28" t="s">
        <v>1271</v>
      </c>
      <c r="J3" s="28" t="s">
        <v>1271</v>
      </c>
      <c r="K3" s="28" t="s">
        <v>1272</v>
      </c>
      <c r="L3" s="28" t="s">
        <v>1271</v>
      </c>
      <c r="M3" s="28" t="s">
        <v>1272</v>
      </c>
      <c r="N3" s="28" t="s">
        <v>1272</v>
      </c>
      <c r="O3" s="28" t="s">
        <v>1272</v>
      </c>
      <c r="P3" s="28" t="s">
        <v>1272</v>
      </c>
      <c r="Q3" s="28" t="s">
        <v>1272</v>
      </c>
      <c r="R3" s="28" t="s">
        <v>1272</v>
      </c>
      <c r="S3" s="28" t="s">
        <v>1272</v>
      </c>
      <c r="T3" s="28" t="s">
        <v>1272</v>
      </c>
      <c r="U3" s="28" t="s">
        <v>1272</v>
      </c>
      <c r="V3" s="28" t="s">
        <v>1272</v>
      </c>
      <c r="W3" s="28" t="s">
        <v>1272</v>
      </c>
      <c r="X3" s="28" t="s">
        <v>1273</v>
      </c>
      <c r="Y3" s="28" t="s">
        <v>1273</v>
      </c>
      <c r="Z3" s="28" t="s">
        <v>1272</v>
      </c>
      <c r="AA3" s="28" t="s">
        <v>1273</v>
      </c>
      <c r="AB3" s="28" t="s">
        <v>1273</v>
      </c>
      <c r="AC3" s="28" t="s">
        <v>1273</v>
      </c>
      <c r="AD3" s="28" t="s">
        <v>1273</v>
      </c>
      <c r="AE3" s="28" t="s">
        <v>1273</v>
      </c>
      <c r="AF3" s="28" t="s">
        <v>1273</v>
      </c>
      <c r="AG3" s="28" t="s">
        <v>1273</v>
      </c>
      <c r="AH3" s="28" t="s">
        <v>1273</v>
      </c>
      <c r="AI3" s="28" t="s">
        <v>1273</v>
      </c>
      <c r="AJ3" s="28" t="s">
        <v>1273</v>
      </c>
    </row>
    <row r="4" spans="1:36">
      <c r="A4" s="29" t="s">
        <v>586</v>
      </c>
      <c r="B4" s="28" t="s">
        <v>1273</v>
      </c>
      <c r="C4" s="28" t="s">
        <v>1273</v>
      </c>
      <c r="D4" s="28" t="s">
        <v>1272</v>
      </c>
      <c r="E4" s="28" t="s">
        <v>1272</v>
      </c>
      <c r="F4" s="28" t="s">
        <v>1272</v>
      </c>
      <c r="G4" s="28" t="s">
        <v>1272</v>
      </c>
      <c r="H4" s="28" t="s">
        <v>1272</v>
      </c>
      <c r="I4" s="28" t="s">
        <v>1272</v>
      </c>
      <c r="J4" s="28" t="s">
        <v>1272</v>
      </c>
      <c r="K4" s="28" t="s">
        <v>1272</v>
      </c>
      <c r="L4" s="28" t="s">
        <v>1272</v>
      </c>
      <c r="M4" s="28" t="s">
        <v>1272</v>
      </c>
      <c r="N4" s="28" t="s">
        <v>1272</v>
      </c>
      <c r="O4" s="28" t="s">
        <v>1272</v>
      </c>
      <c r="P4" s="28" t="s">
        <v>1272</v>
      </c>
      <c r="Q4" s="28" t="s">
        <v>1272</v>
      </c>
      <c r="R4" s="28" t="s">
        <v>1272</v>
      </c>
      <c r="S4" s="28" t="s">
        <v>1272</v>
      </c>
      <c r="T4" s="28" t="s">
        <v>1272</v>
      </c>
      <c r="U4" s="28" t="s">
        <v>1272</v>
      </c>
      <c r="V4" s="28" t="s">
        <v>1272</v>
      </c>
      <c r="W4" s="28" t="s">
        <v>1273</v>
      </c>
      <c r="X4" s="28" t="s">
        <v>1273</v>
      </c>
      <c r="Y4" s="28" t="s">
        <v>1273</v>
      </c>
      <c r="Z4" s="28" t="s">
        <v>1273</v>
      </c>
      <c r="AA4" s="28" t="s">
        <v>1273</v>
      </c>
      <c r="AB4" s="28" t="s">
        <v>1273</v>
      </c>
      <c r="AC4" s="28" t="s">
        <v>1273</v>
      </c>
      <c r="AD4" s="28" t="s">
        <v>1273</v>
      </c>
      <c r="AE4" s="28" t="s">
        <v>1273</v>
      </c>
      <c r="AF4" s="28" t="s">
        <v>1273</v>
      </c>
      <c r="AG4" s="28" t="s">
        <v>1273</v>
      </c>
      <c r="AH4" s="28" t="s">
        <v>1272</v>
      </c>
      <c r="AI4" s="28" t="s">
        <v>1272</v>
      </c>
      <c r="AJ4" s="28" t="s">
        <v>1272</v>
      </c>
    </row>
    <row r="5" spans="1:36">
      <c r="A5" s="29" t="s">
        <v>1169</v>
      </c>
      <c r="B5" s="28" t="s">
        <v>1274</v>
      </c>
      <c r="C5" s="28" t="s">
        <v>1274</v>
      </c>
      <c r="D5" s="28" t="s">
        <v>1274</v>
      </c>
      <c r="E5" s="28" t="s">
        <v>1273</v>
      </c>
      <c r="F5" s="28" t="s">
        <v>1273</v>
      </c>
      <c r="G5" s="28" t="s">
        <v>1273</v>
      </c>
      <c r="H5" s="28" t="s">
        <v>1273</v>
      </c>
      <c r="I5" s="28" t="s">
        <v>1273</v>
      </c>
      <c r="J5" s="28" t="s">
        <v>1273</v>
      </c>
      <c r="K5" s="28" t="s">
        <v>1273</v>
      </c>
      <c r="L5" s="28" t="s">
        <v>1273</v>
      </c>
      <c r="M5" s="28" t="s">
        <v>1273</v>
      </c>
      <c r="N5" s="28" t="s">
        <v>1273</v>
      </c>
      <c r="O5" s="28" t="s">
        <v>1273</v>
      </c>
      <c r="P5" s="28" t="s">
        <v>1273</v>
      </c>
      <c r="Q5" s="28" t="s">
        <v>1273</v>
      </c>
      <c r="R5" s="28" t="s">
        <v>1273</v>
      </c>
      <c r="S5" s="28" t="s">
        <v>1273</v>
      </c>
      <c r="T5" s="28" t="s">
        <v>1273</v>
      </c>
      <c r="U5" s="28" t="s">
        <v>1273</v>
      </c>
      <c r="V5" s="28" t="s">
        <v>1273</v>
      </c>
      <c r="W5" s="28" t="s">
        <v>1273</v>
      </c>
      <c r="X5" s="28" t="s">
        <v>1273</v>
      </c>
      <c r="Y5" s="28" t="s">
        <v>1273</v>
      </c>
      <c r="Z5" s="28" t="s">
        <v>1273</v>
      </c>
      <c r="AA5" s="28" t="s">
        <v>1273</v>
      </c>
      <c r="AB5" s="28" t="s">
        <v>1273</v>
      </c>
      <c r="AC5" s="28" t="s">
        <v>1273</v>
      </c>
      <c r="AD5" s="28" t="s">
        <v>1273</v>
      </c>
      <c r="AE5" s="28" t="s">
        <v>1273</v>
      </c>
      <c r="AF5" s="28" t="s">
        <v>1273</v>
      </c>
      <c r="AG5" s="28" t="s">
        <v>1273</v>
      </c>
      <c r="AH5" s="28" t="s">
        <v>1273</v>
      </c>
      <c r="AI5" s="28" t="s">
        <v>1273</v>
      </c>
      <c r="AJ5" s="28" t="s">
        <v>1273</v>
      </c>
    </row>
    <row r="6" spans="1:36">
      <c r="A6" s="29" t="s">
        <v>1166</v>
      </c>
      <c r="B6" s="28" t="s">
        <v>1210</v>
      </c>
      <c r="C6" s="28" t="s">
        <v>1210</v>
      </c>
      <c r="D6" s="28" t="s">
        <v>1210</v>
      </c>
      <c r="E6" s="28" t="s">
        <v>1274</v>
      </c>
      <c r="F6" s="28" t="s">
        <v>1274</v>
      </c>
      <c r="G6" s="28" t="s">
        <v>1274</v>
      </c>
      <c r="H6" s="28" t="s">
        <v>1274</v>
      </c>
      <c r="I6" s="28" t="s">
        <v>1274</v>
      </c>
      <c r="J6" s="28" t="s">
        <v>1274</v>
      </c>
      <c r="K6" s="28" t="s">
        <v>1274</v>
      </c>
      <c r="L6" s="28" t="s">
        <v>1274</v>
      </c>
      <c r="M6" s="28" t="s">
        <v>1274</v>
      </c>
      <c r="N6" s="28" t="s">
        <v>1274</v>
      </c>
      <c r="O6" s="28" t="s">
        <v>1274</v>
      </c>
      <c r="P6" s="28" t="s">
        <v>1274</v>
      </c>
      <c r="Q6" s="28" t="s">
        <v>1274</v>
      </c>
      <c r="R6" s="28" t="s">
        <v>1274</v>
      </c>
      <c r="S6" s="28" t="s">
        <v>1274</v>
      </c>
      <c r="T6" s="28" t="s">
        <v>1274</v>
      </c>
      <c r="U6" s="28" t="s">
        <v>1274</v>
      </c>
      <c r="V6" s="28" t="s">
        <v>1274</v>
      </c>
      <c r="W6" s="28" t="s">
        <v>1274</v>
      </c>
      <c r="X6" s="28" t="s">
        <v>1274</v>
      </c>
      <c r="Y6" s="28" t="s">
        <v>1274</v>
      </c>
      <c r="Z6" s="28" t="s">
        <v>1274</v>
      </c>
      <c r="AA6" s="28" t="s">
        <v>1274</v>
      </c>
      <c r="AB6" s="28" t="s">
        <v>1274</v>
      </c>
      <c r="AC6" s="28" t="s">
        <v>1274</v>
      </c>
      <c r="AD6" s="28" t="s">
        <v>1274</v>
      </c>
      <c r="AE6" s="28" t="s">
        <v>1274</v>
      </c>
      <c r="AF6" s="28" t="s">
        <v>1274</v>
      </c>
      <c r="AG6" s="28" t="s">
        <v>1274</v>
      </c>
      <c r="AH6" s="28" t="s">
        <v>1274</v>
      </c>
      <c r="AI6" s="28" t="s">
        <v>1274</v>
      </c>
      <c r="AJ6" s="28" t="s">
        <v>1274</v>
      </c>
    </row>
    <row r="7" spans="1:36">
      <c r="A7" s="29" t="s">
        <v>1004</v>
      </c>
      <c r="B7" s="28" t="s">
        <v>1210</v>
      </c>
      <c r="C7" s="28" t="s">
        <v>1272</v>
      </c>
      <c r="D7" s="28" t="s">
        <v>1272</v>
      </c>
      <c r="E7" s="28" t="s">
        <v>1272</v>
      </c>
      <c r="F7" s="28" t="s">
        <v>1272</v>
      </c>
      <c r="G7" s="28" t="s">
        <v>1272</v>
      </c>
      <c r="H7" s="28" t="s">
        <v>1272</v>
      </c>
      <c r="I7" s="28" t="s">
        <v>1272</v>
      </c>
      <c r="J7" s="28" t="s">
        <v>1271</v>
      </c>
      <c r="K7" s="28" t="s">
        <v>1271</v>
      </c>
      <c r="L7" s="28" t="s">
        <v>1271</v>
      </c>
      <c r="M7" s="28" t="s">
        <v>1271</v>
      </c>
      <c r="N7" s="28" t="s">
        <v>1271</v>
      </c>
      <c r="O7" s="28" t="s">
        <v>1271</v>
      </c>
      <c r="P7" s="28" t="s">
        <v>1271</v>
      </c>
      <c r="Q7" s="28" t="s">
        <v>1271</v>
      </c>
      <c r="R7" s="28" t="s">
        <v>1271</v>
      </c>
      <c r="S7" s="28" t="s">
        <v>1272</v>
      </c>
      <c r="T7" s="28" t="s">
        <v>1272</v>
      </c>
      <c r="U7" s="28" t="s">
        <v>1272</v>
      </c>
      <c r="V7" s="28" t="s">
        <v>1272</v>
      </c>
      <c r="W7" s="28" t="s">
        <v>1272</v>
      </c>
      <c r="X7" s="28" t="s">
        <v>1272</v>
      </c>
      <c r="Y7" s="28" t="s">
        <v>1272</v>
      </c>
      <c r="Z7" s="28" t="s">
        <v>1273</v>
      </c>
      <c r="AA7" s="28" t="s">
        <v>1273</v>
      </c>
      <c r="AB7" s="28" t="s">
        <v>1273</v>
      </c>
      <c r="AC7" s="28" t="s">
        <v>1273</v>
      </c>
      <c r="AD7" s="28" t="s">
        <v>1273</v>
      </c>
      <c r="AE7" s="28" t="s">
        <v>1272</v>
      </c>
      <c r="AF7" s="28" t="s">
        <v>1272</v>
      </c>
      <c r="AG7" s="28" t="s">
        <v>1272</v>
      </c>
      <c r="AH7" s="28" t="s">
        <v>1272</v>
      </c>
      <c r="AI7" s="28" t="s">
        <v>1272</v>
      </c>
      <c r="AJ7" s="28" t="s">
        <v>1272</v>
      </c>
    </row>
    <row r="8" spans="1:36">
      <c r="A8" s="29" t="s">
        <v>1006</v>
      </c>
      <c r="B8" s="28" t="s">
        <v>1273</v>
      </c>
      <c r="C8" s="28" t="s">
        <v>1273</v>
      </c>
      <c r="D8" s="28" t="s">
        <v>1273</v>
      </c>
      <c r="E8" s="28" t="s">
        <v>1273</v>
      </c>
      <c r="F8" s="28" t="s">
        <v>1273</v>
      </c>
      <c r="G8" s="28" t="s">
        <v>1273</v>
      </c>
      <c r="H8" s="28" t="s">
        <v>1273</v>
      </c>
      <c r="I8" s="28" t="s">
        <v>1273</v>
      </c>
      <c r="J8" s="28" t="s">
        <v>1273</v>
      </c>
      <c r="K8" s="28" t="s">
        <v>1273</v>
      </c>
      <c r="L8" s="28" t="s">
        <v>1273</v>
      </c>
      <c r="M8" s="28" t="s">
        <v>1273</v>
      </c>
      <c r="N8" s="28" t="s">
        <v>1273</v>
      </c>
      <c r="O8" s="28" t="s">
        <v>1273</v>
      </c>
      <c r="P8" s="28" t="s">
        <v>1273</v>
      </c>
      <c r="Q8" s="28" t="s">
        <v>1274</v>
      </c>
      <c r="R8" s="28" t="s">
        <v>1273</v>
      </c>
      <c r="S8" s="28" t="s">
        <v>1273</v>
      </c>
      <c r="T8" s="28" t="s">
        <v>1274</v>
      </c>
      <c r="U8" s="28" t="s">
        <v>1274</v>
      </c>
      <c r="V8" s="28" t="s">
        <v>1274</v>
      </c>
      <c r="W8" s="28" t="s">
        <v>1274</v>
      </c>
      <c r="X8" s="28" t="s">
        <v>1273</v>
      </c>
      <c r="Y8" s="28" t="s">
        <v>1273</v>
      </c>
      <c r="Z8" s="28" t="s">
        <v>1273</v>
      </c>
      <c r="AA8" s="28" t="s">
        <v>1274</v>
      </c>
      <c r="AB8" s="28" t="s">
        <v>1274</v>
      </c>
      <c r="AC8" s="28" t="s">
        <v>1274</v>
      </c>
      <c r="AD8" s="28" t="s">
        <v>1274</v>
      </c>
      <c r="AE8" s="28" t="s">
        <v>1274</v>
      </c>
      <c r="AF8" s="28" t="s">
        <v>1274</v>
      </c>
      <c r="AG8" s="28" t="s">
        <v>1274</v>
      </c>
      <c r="AH8" s="28" t="s">
        <v>1274</v>
      </c>
      <c r="AI8" s="28" t="s">
        <v>1274</v>
      </c>
      <c r="AJ8" s="28" t="s">
        <v>1274</v>
      </c>
    </row>
    <row r="9" spans="1:36">
      <c r="A9" s="29" t="s">
        <v>365</v>
      </c>
      <c r="B9" s="28" t="s">
        <v>1273</v>
      </c>
      <c r="C9" s="28" t="s">
        <v>1273</v>
      </c>
      <c r="D9" s="28" t="s">
        <v>1272</v>
      </c>
      <c r="E9" s="28" t="s">
        <v>1272</v>
      </c>
      <c r="F9" s="28" t="s">
        <v>1273</v>
      </c>
      <c r="G9" s="28" t="s">
        <v>1273</v>
      </c>
      <c r="H9" s="28" t="s">
        <v>1273</v>
      </c>
      <c r="I9" s="28" t="s">
        <v>1273</v>
      </c>
      <c r="J9" s="28" t="s">
        <v>1273</v>
      </c>
      <c r="K9" s="28" t="s">
        <v>1273</v>
      </c>
      <c r="L9" s="28" t="s">
        <v>1273</v>
      </c>
      <c r="M9" s="28" t="s">
        <v>1273</v>
      </c>
      <c r="N9" s="28" t="s">
        <v>1273</v>
      </c>
      <c r="O9" s="28" t="s">
        <v>1273</v>
      </c>
      <c r="P9" s="28" t="s">
        <v>1273</v>
      </c>
      <c r="Q9" s="28" t="s">
        <v>1273</v>
      </c>
      <c r="R9" s="28" t="s">
        <v>1273</v>
      </c>
      <c r="S9" s="28" t="s">
        <v>1273</v>
      </c>
      <c r="T9" s="28" t="s">
        <v>1273</v>
      </c>
      <c r="U9" s="28" t="s">
        <v>1273</v>
      </c>
      <c r="V9" s="28" t="s">
        <v>1273</v>
      </c>
      <c r="W9" s="28" t="s">
        <v>1273</v>
      </c>
      <c r="X9" s="28" t="s">
        <v>1273</v>
      </c>
      <c r="Y9" s="28" t="s">
        <v>1273</v>
      </c>
      <c r="Z9" s="28" t="s">
        <v>1273</v>
      </c>
      <c r="AA9" s="28" t="s">
        <v>1273</v>
      </c>
      <c r="AB9" s="28" t="s">
        <v>1273</v>
      </c>
      <c r="AC9" s="28" t="s">
        <v>1274</v>
      </c>
      <c r="AD9" s="28" t="s">
        <v>1273</v>
      </c>
      <c r="AE9" s="28" t="s">
        <v>1273</v>
      </c>
      <c r="AF9" s="28" t="s">
        <v>1274</v>
      </c>
      <c r="AG9" s="28" t="s">
        <v>1273</v>
      </c>
      <c r="AH9" s="28" t="s">
        <v>1273</v>
      </c>
      <c r="AI9" s="28" t="s">
        <v>1273</v>
      </c>
      <c r="AJ9" s="28" t="s">
        <v>1273</v>
      </c>
    </row>
    <row r="10" spans="1:36">
      <c r="A10" s="29" t="s">
        <v>1003</v>
      </c>
      <c r="B10" s="28" t="s">
        <v>1210</v>
      </c>
      <c r="C10" s="28" t="s">
        <v>1210</v>
      </c>
      <c r="D10" s="28" t="s">
        <v>1210</v>
      </c>
      <c r="E10" s="28" t="s">
        <v>1210</v>
      </c>
      <c r="F10" s="28" t="s">
        <v>1272</v>
      </c>
      <c r="G10" s="28" t="s">
        <v>1272</v>
      </c>
      <c r="H10" s="28" t="s">
        <v>1271</v>
      </c>
      <c r="I10" s="28" t="s">
        <v>1271</v>
      </c>
      <c r="J10" s="28" t="s">
        <v>1271</v>
      </c>
      <c r="K10" s="28" t="s">
        <v>1271</v>
      </c>
      <c r="L10" s="28" t="s">
        <v>1271</v>
      </c>
      <c r="M10" s="28" t="s">
        <v>1271</v>
      </c>
      <c r="N10" s="28" t="s">
        <v>1271</v>
      </c>
      <c r="O10" s="28" t="s">
        <v>1271</v>
      </c>
      <c r="P10" s="28" t="s">
        <v>1271</v>
      </c>
      <c r="Q10" s="28" t="s">
        <v>1272</v>
      </c>
      <c r="R10" s="28" t="s">
        <v>1272</v>
      </c>
      <c r="S10" s="28" t="s">
        <v>1272</v>
      </c>
      <c r="T10" s="28" t="s">
        <v>1272</v>
      </c>
      <c r="U10" s="28" t="s">
        <v>1272</v>
      </c>
      <c r="V10" s="28" t="s">
        <v>1272</v>
      </c>
      <c r="W10" s="28" t="s">
        <v>1272</v>
      </c>
      <c r="X10" s="28" t="s">
        <v>1272</v>
      </c>
      <c r="Y10" s="28" t="s">
        <v>1272</v>
      </c>
      <c r="Z10" s="28" t="s">
        <v>1272</v>
      </c>
      <c r="AA10" s="28" t="s">
        <v>1272</v>
      </c>
      <c r="AB10" s="28" t="s">
        <v>1272</v>
      </c>
      <c r="AC10" s="28" t="s">
        <v>1272</v>
      </c>
      <c r="AD10" s="28" t="s">
        <v>1272</v>
      </c>
      <c r="AE10" s="28" t="s">
        <v>1272</v>
      </c>
      <c r="AF10" s="28" t="s">
        <v>1273</v>
      </c>
      <c r="AG10" s="28" t="s">
        <v>1273</v>
      </c>
      <c r="AH10" s="28" t="s">
        <v>1273</v>
      </c>
      <c r="AI10" s="28" t="s">
        <v>1273</v>
      </c>
      <c r="AJ10" s="28" t="s">
        <v>1273</v>
      </c>
    </row>
    <row r="11" spans="1:36">
      <c r="A11" s="29" t="s">
        <v>1165</v>
      </c>
      <c r="B11" s="28" t="s">
        <v>1274</v>
      </c>
      <c r="C11" s="28" t="s">
        <v>1274</v>
      </c>
      <c r="D11" s="28" t="s">
        <v>1274</v>
      </c>
      <c r="E11" s="28" t="s">
        <v>1274</v>
      </c>
      <c r="F11" s="28" t="s">
        <v>1273</v>
      </c>
      <c r="G11" s="28" t="s">
        <v>1273</v>
      </c>
      <c r="H11" s="28" t="s">
        <v>1273</v>
      </c>
      <c r="I11" s="28" t="s">
        <v>1274</v>
      </c>
      <c r="J11" s="28" t="s">
        <v>1274</v>
      </c>
      <c r="K11" s="28" t="s">
        <v>1274</v>
      </c>
      <c r="L11" s="28" t="s">
        <v>1274</v>
      </c>
      <c r="M11" s="28" t="s">
        <v>1274</v>
      </c>
      <c r="N11" s="28" t="s">
        <v>1274</v>
      </c>
      <c r="O11" s="28" t="s">
        <v>1274</v>
      </c>
      <c r="P11" s="28" t="s">
        <v>1274</v>
      </c>
      <c r="Q11" s="28" t="s">
        <v>1274</v>
      </c>
      <c r="R11" s="28" t="s">
        <v>1274</v>
      </c>
      <c r="S11" s="28" t="s">
        <v>1274</v>
      </c>
      <c r="T11" s="28" t="s">
        <v>1274</v>
      </c>
      <c r="U11" s="28" t="s">
        <v>1274</v>
      </c>
      <c r="V11" s="28" t="s">
        <v>1274</v>
      </c>
      <c r="W11" s="28" t="s">
        <v>1274</v>
      </c>
      <c r="X11" s="28" t="s">
        <v>1274</v>
      </c>
      <c r="Y11" s="28" t="s">
        <v>1274</v>
      </c>
      <c r="Z11" s="28" t="s">
        <v>1274</v>
      </c>
      <c r="AA11" s="28" t="s">
        <v>1274</v>
      </c>
      <c r="AB11" s="28" t="s">
        <v>1274</v>
      </c>
      <c r="AC11" s="28" t="s">
        <v>1274</v>
      </c>
      <c r="AD11" s="28" t="s">
        <v>1274</v>
      </c>
      <c r="AE11" s="28" t="s">
        <v>1274</v>
      </c>
      <c r="AF11" s="28" t="s">
        <v>1274</v>
      </c>
      <c r="AG11" s="28" t="s">
        <v>1274</v>
      </c>
      <c r="AH11" s="28" t="s">
        <v>1274</v>
      </c>
      <c r="AI11" s="28" t="s">
        <v>1274</v>
      </c>
      <c r="AJ11" s="28" t="s">
        <v>1274</v>
      </c>
    </row>
    <row r="12" spans="1:36">
      <c r="A12" s="29" t="s">
        <v>1009</v>
      </c>
      <c r="B12" s="28" t="s">
        <v>1274</v>
      </c>
      <c r="C12" s="28" t="s">
        <v>1274</v>
      </c>
      <c r="D12" s="28" t="s">
        <v>1274</v>
      </c>
      <c r="E12" s="28" t="s">
        <v>1274</v>
      </c>
      <c r="F12" s="28" t="s">
        <v>1274</v>
      </c>
      <c r="G12" s="28" t="s">
        <v>1274</v>
      </c>
      <c r="H12" s="28" t="s">
        <v>1274</v>
      </c>
      <c r="I12" s="28" t="s">
        <v>1274</v>
      </c>
      <c r="J12" s="28" t="s">
        <v>1274</v>
      </c>
      <c r="K12" s="28" t="s">
        <v>1274</v>
      </c>
      <c r="L12" s="28" t="s">
        <v>1274</v>
      </c>
      <c r="M12" s="28" t="s">
        <v>1274</v>
      </c>
      <c r="N12" s="28" t="s">
        <v>1274</v>
      </c>
      <c r="O12" s="28" t="s">
        <v>1274</v>
      </c>
      <c r="P12" s="28" t="s">
        <v>1274</v>
      </c>
      <c r="Q12" s="28" t="s">
        <v>1274</v>
      </c>
      <c r="R12" s="28" t="s">
        <v>1274</v>
      </c>
      <c r="S12" s="28" t="s">
        <v>1274</v>
      </c>
      <c r="T12" s="28" t="s">
        <v>1274</v>
      </c>
      <c r="U12" s="28" t="s">
        <v>1274</v>
      </c>
      <c r="V12" s="28" t="s">
        <v>1274</v>
      </c>
      <c r="W12" s="28" t="s">
        <v>1274</v>
      </c>
      <c r="X12" s="28" t="s">
        <v>1274</v>
      </c>
      <c r="Y12" s="28" t="s">
        <v>1274</v>
      </c>
      <c r="Z12" s="28" t="s">
        <v>1274</v>
      </c>
      <c r="AA12" s="28" t="s">
        <v>1274</v>
      </c>
      <c r="AB12" s="28" t="s">
        <v>1274</v>
      </c>
      <c r="AC12" s="28" t="s">
        <v>1274</v>
      </c>
      <c r="AD12" s="28" t="s">
        <v>1274</v>
      </c>
      <c r="AE12" s="28" t="s">
        <v>1274</v>
      </c>
      <c r="AF12" s="28" t="s">
        <v>1274</v>
      </c>
      <c r="AG12" s="28" t="s">
        <v>1274</v>
      </c>
      <c r="AH12" s="28" t="s">
        <v>1274</v>
      </c>
      <c r="AI12" s="28" t="s">
        <v>1274</v>
      </c>
      <c r="AJ12" s="28" t="s">
        <v>1274</v>
      </c>
    </row>
    <row r="13" spans="1:36">
      <c r="A13" s="29" t="s">
        <v>1011</v>
      </c>
      <c r="B13" s="28" t="s">
        <v>1274</v>
      </c>
      <c r="C13" s="28" t="s">
        <v>1274</v>
      </c>
      <c r="D13" s="28" t="s">
        <v>1274</v>
      </c>
      <c r="E13" s="28" t="s">
        <v>1274</v>
      </c>
      <c r="F13" s="28" t="s">
        <v>1274</v>
      </c>
      <c r="G13" s="28" t="s">
        <v>1274</v>
      </c>
      <c r="H13" s="28" t="s">
        <v>1274</v>
      </c>
      <c r="I13" s="28" t="s">
        <v>1274</v>
      </c>
      <c r="J13" s="28" t="s">
        <v>1274</v>
      </c>
      <c r="K13" s="28" t="s">
        <v>1274</v>
      </c>
      <c r="L13" s="28" t="s">
        <v>1274</v>
      </c>
      <c r="M13" s="28" t="s">
        <v>1274</v>
      </c>
      <c r="N13" s="28" t="s">
        <v>1274</v>
      </c>
      <c r="O13" s="28" t="s">
        <v>1274</v>
      </c>
      <c r="P13" s="28" t="s">
        <v>1274</v>
      </c>
      <c r="Q13" s="28" t="s">
        <v>1274</v>
      </c>
      <c r="R13" s="28" t="s">
        <v>1274</v>
      </c>
      <c r="S13" s="28" t="s">
        <v>1274</v>
      </c>
      <c r="T13" s="28" t="s">
        <v>1274</v>
      </c>
      <c r="U13" s="28" t="s">
        <v>1274</v>
      </c>
      <c r="V13" s="28" t="s">
        <v>1274</v>
      </c>
      <c r="W13" s="28" t="s">
        <v>1274</v>
      </c>
      <c r="X13" s="28" t="s">
        <v>1274</v>
      </c>
      <c r="Y13" s="28" t="s">
        <v>1274</v>
      </c>
      <c r="Z13" s="28" t="s">
        <v>1274</v>
      </c>
      <c r="AA13" s="28" t="s">
        <v>1274</v>
      </c>
      <c r="AB13" s="28" t="s">
        <v>1274</v>
      </c>
      <c r="AC13" s="28" t="s">
        <v>1274</v>
      </c>
      <c r="AD13" s="28" t="s">
        <v>1274</v>
      </c>
      <c r="AE13" s="28" t="s">
        <v>1274</v>
      </c>
      <c r="AF13" s="28" t="s">
        <v>1274</v>
      </c>
      <c r="AG13" s="28" t="s">
        <v>1274</v>
      </c>
      <c r="AH13" s="28" t="s">
        <v>1274</v>
      </c>
      <c r="AI13" s="28" t="s">
        <v>1274</v>
      </c>
      <c r="AJ13" s="28" t="s">
        <v>1274</v>
      </c>
    </row>
    <row r="14" spans="1:36">
      <c r="A14" s="29" t="s">
        <v>1005</v>
      </c>
      <c r="B14" s="28" t="s">
        <v>1210</v>
      </c>
      <c r="C14" s="28" t="s">
        <v>1210</v>
      </c>
      <c r="D14" s="28" t="s">
        <v>1210</v>
      </c>
      <c r="E14" s="28" t="s">
        <v>1210</v>
      </c>
      <c r="F14" s="28" t="s">
        <v>1272</v>
      </c>
      <c r="G14" s="28" t="s">
        <v>1272</v>
      </c>
      <c r="H14" s="28" t="s">
        <v>1272</v>
      </c>
      <c r="I14" s="28" t="s">
        <v>1271</v>
      </c>
      <c r="J14" s="28" t="s">
        <v>1271</v>
      </c>
      <c r="K14" s="28" t="s">
        <v>1271</v>
      </c>
      <c r="L14" s="28" t="s">
        <v>1271</v>
      </c>
      <c r="M14" s="28" t="s">
        <v>1271</v>
      </c>
      <c r="N14" s="28" t="s">
        <v>1271</v>
      </c>
      <c r="O14" s="28" t="s">
        <v>1271</v>
      </c>
      <c r="P14" s="28" t="s">
        <v>1271</v>
      </c>
      <c r="Q14" s="28" t="s">
        <v>1271</v>
      </c>
      <c r="R14" s="28" t="s">
        <v>1272</v>
      </c>
      <c r="S14" s="28" t="s">
        <v>1272</v>
      </c>
      <c r="T14" s="28" t="s">
        <v>1272</v>
      </c>
      <c r="U14" s="28" t="s">
        <v>1272</v>
      </c>
      <c r="V14" s="28" t="s">
        <v>1272</v>
      </c>
      <c r="W14" s="28" t="s">
        <v>1272</v>
      </c>
      <c r="X14" s="28" t="s">
        <v>1273</v>
      </c>
      <c r="Y14" s="28" t="s">
        <v>1273</v>
      </c>
      <c r="Z14" s="28" t="s">
        <v>1273</v>
      </c>
      <c r="AA14" s="28" t="s">
        <v>1273</v>
      </c>
      <c r="AB14" s="28" t="s">
        <v>1273</v>
      </c>
      <c r="AC14" s="28" t="s">
        <v>1273</v>
      </c>
      <c r="AD14" s="28" t="s">
        <v>1273</v>
      </c>
      <c r="AE14" s="28" t="s">
        <v>1273</v>
      </c>
      <c r="AF14" s="28" t="s">
        <v>1273</v>
      </c>
      <c r="AG14" s="28" t="s">
        <v>1273</v>
      </c>
      <c r="AH14" s="28" t="s">
        <v>1273</v>
      </c>
      <c r="AI14" s="28" t="s">
        <v>1273</v>
      </c>
      <c r="AJ14" s="28" t="s">
        <v>1273</v>
      </c>
    </row>
    <row r="15" spans="1:36">
      <c r="A15" s="29" t="s">
        <v>1170</v>
      </c>
      <c r="B15" s="28" t="s">
        <v>1274</v>
      </c>
      <c r="C15" s="28" t="s">
        <v>1274</v>
      </c>
      <c r="D15" s="28" t="s">
        <v>1274</v>
      </c>
      <c r="E15" s="28" t="s">
        <v>1274</v>
      </c>
      <c r="F15" s="28" t="s">
        <v>1274</v>
      </c>
      <c r="G15" s="28" t="s">
        <v>1274</v>
      </c>
      <c r="H15" s="28" t="s">
        <v>1274</v>
      </c>
      <c r="I15" s="28" t="s">
        <v>1274</v>
      </c>
      <c r="J15" s="28" t="s">
        <v>1274</v>
      </c>
      <c r="K15" s="28" t="s">
        <v>1274</v>
      </c>
      <c r="L15" s="28" t="s">
        <v>1274</v>
      </c>
      <c r="M15" s="28" t="s">
        <v>1274</v>
      </c>
      <c r="N15" s="28" t="s">
        <v>1274</v>
      </c>
      <c r="O15" s="28" t="s">
        <v>1274</v>
      </c>
      <c r="P15" s="28" t="s">
        <v>1274</v>
      </c>
      <c r="Q15" s="28" t="s">
        <v>1274</v>
      </c>
      <c r="R15" s="28" t="s">
        <v>1274</v>
      </c>
      <c r="S15" s="28" t="s">
        <v>1274</v>
      </c>
      <c r="T15" s="28" t="s">
        <v>1274</v>
      </c>
      <c r="U15" s="28" t="s">
        <v>1274</v>
      </c>
      <c r="V15" s="28" t="s">
        <v>1274</v>
      </c>
      <c r="W15" s="28" t="s">
        <v>1274</v>
      </c>
      <c r="X15" s="28" t="s">
        <v>1274</v>
      </c>
      <c r="Y15" s="28" t="s">
        <v>1274</v>
      </c>
      <c r="Z15" s="28" t="s">
        <v>1274</v>
      </c>
      <c r="AA15" s="28" t="s">
        <v>1274</v>
      </c>
      <c r="AB15" s="28" t="s">
        <v>1274</v>
      </c>
      <c r="AC15" s="28" t="s">
        <v>1274</v>
      </c>
      <c r="AD15" s="28" t="s">
        <v>1274</v>
      </c>
      <c r="AE15" s="28" t="s">
        <v>1274</v>
      </c>
      <c r="AF15" s="28" t="s">
        <v>1274</v>
      </c>
      <c r="AG15" s="28" t="s">
        <v>1274</v>
      </c>
      <c r="AH15" s="28" t="s">
        <v>1274</v>
      </c>
      <c r="AI15" s="28" t="s">
        <v>1274</v>
      </c>
      <c r="AJ15" s="28" t="s">
        <v>1274</v>
      </c>
    </row>
    <row r="16" spans="1:36">
      <c r="A16" s="29" t="s">
        <v>1014</v>
      </c>
      <c r="B16" s="28" t="s">
        <v>1274</v>
      </c>
      <c r="C16" s="28" t="s">
        <v>1274</v>
      </c>
      <c r="D16" s="28" t="s">
        <v>1274</v>
      </c>
      <c r="E16" s="28" t="s">
        <v>1273</v>
      </c>
      <c r="F16" s="28" t="s">
        <v>1273</v>
      </c>
      <c r="G16" s="28" t="s">
        <v>1273</v>
      </c>
      <c r="H16" s="28" t="s">
        <v>1273</v>
      </c>
      <c r="I16" s="28" t="s">
        <v>1273</v>
      </c>
      <c r="J16" s="28" t="s">
        <v>1273</v>
      </c>
      <c r="K16" s="28" t="s">
        <v>1273</v>
      </c>
      <c r="L16" s="28" t="s">
        <v>1273</v>
      </c>
      <c r="M16" s="28" t="s">
        <v>1273</v>
      </c>
      <c r="N16" s="28" t="s">
        <v>1273</v>
      </c>
      <c r="O16" s="28" t="s">
        <v>1273</v>
      </c>
      <c r="P16" s="28" t="s">
        <v>1274</v>
      </c>
      <c r="Q16" s="28" t="s">
        <v>1274</v>
      </c>
      <c r="R16" s="28" t="s">
        <v>1274</v>
      </c>
      <c r="S16" s="28" t="s">
        <v>1274</v>
      </c>
      <c r="T16" s="28" t="s">
        <v>1274</v>
      </c>
      <c r="U16" s="28" t="s">
        <v>1274</v>
      </c>
      <c r="V16" s="28" t="s">
        <v>1274</v>
      </c>
      <c r="W16" s="28" t="s">
        <v>1274</v>
      </c>
      <c r="X16" s="28" t="s">
        <v>1274</v>
      </c>
      <c r="Y16" s="28" t="s">
        <v>1274</v>
      </c>
      <c r="Z16" s="28" t="s">
        <v>1274</v>
      </c>
      <c r="AA16" s="28" t="s">
        <v>1274</v>
      </c>
      <c r="AB16" s="28" t="s">
        <v>1274</v>
      </c>
      <c r="AC16" s="28" t="s">
        <v>1274</v>
      </c>
      <c r="AD16" s="28" t="s">
        <v>1274</v>
      </c>
      <c r="AE16" s="28" t="s">
        <v>1274</v>
      </c>
      <c r="AF16" s="28" t="s">
        <v>1274</v>
      </c>
      <c r="AG16" s="28" t="s">
        <v>1274</v>
      </c>
      <c r="AH16" s="28" t="s">
        <v>1274</v>
      </c>
      <c r="AI16" s="28" t="s">
        <v>1274</v>
      </c>
      <c r="AJ16" s="28" t="s">
        <v>1274</v>
      </c>
    </row>
    <row r="17" spans="1:36">
      <c r="A17" s="29" t="s">
        <v>1007</v>
      </c>
      <c r="B17" s="28" t="s">
        <v>1271</v>
      </c>
      <c r="C17" s="28" t="s">
        <v>1271</v>
      </c>
      <c r="D17" s="28" t="s">
        <v>1271</v>
      </c>
      <c r="E17" s="28" t="s">
        <v>1271</v>
      </c>
      <c r="F17" s="28" t="s">
        <v>1271</v>
      </c>
      <c r="G17" s="28" t="s">
        <v>1271</v>
      </c>
      <c r="H17" s="28" t="s">
        <v>1271</v>
      </c>
      <c r="I17" s="28" t="s">
        <v>1271</v>
      </c>
      <c r="J17" s="28" t="s">
        <v>1271</v>
      </c>
      <c r="K17" s="28" t="s">
        <v>1271</v>
      </c>
      <c r="L17" s="28" t="s">
        <v>1271</v>
      </c>
      <c r="M17" s="28" t="s">
        <v>1271</v>
      </c>
      <c r="N17" s="28" t="s">
        <v>1271</v>
      </c>
      <c r="O17" s="28" t="s">
        <v>1271</v>
      </c>
      <c r="P17" s="28" t="s">
        <v>1271</v>
      </c>
      <c r="Q17" s="28" t="s">
        <v>1271</v>
      </c>
      <c r="R17" s="28" t="s">
        <v>1271</v>
      </c>
      <c r="S17" s="28" t="s">
        <v>1271</v>
      </c>
      <c r="T17" s="28" t="s">
        <v>1271</v>
      </c>
      <c r="U17" s="28" t="s">
        <v>1271</v>
      </c>
      <c r="V17" s="28" t="s">
        <v>1271</v>
      </c>
      <c r="W17" s="28" t="s">
        <v>1271</v>
      </c>
      <c r="X17" s="28" t="s">
        <v>1271</v>
      </c>
      <c r="Y17" s="28" t="s">
        <v>1271</v>
      </c>
      <c r="Z17" s="28" t="s">
        <v>1271</v>
      </c>
      <c r="AA17" s="28" t="s">
        <v>1271</v>
      </c>
      <c r="AB17" s="28" t="s">
        <v>1271</v>
      </c>
      <c r="AC17" s="28" t="s">
        <v>1272</v>
      </c>
      <c r="AD17" s="28" t="s">
        <v>1272</v>
      </c>
      <c r="AE17" s="28" t="s">
        <v>1272</v>
      </c>
      <c r="AF17" s="28" t="s">
        <v>1272</v>
      </c>
      <c r="AG17" s="28" t="s">
        <v>1272</v>
      </c>
      <c r="AH17" s="28" t="s">
        <v>1272</v>
      </c>
      <c r="AI17" s="28" t="s">
        <v>1272</v>
      </c>
      <c r="AJ17" s="28" t="s">
        <v>1272</v>
      </c>
    </row>
    <row r="18" spans="1:36">
      <c r="A18" s="29" t="s">
        <v>1172</v>
      </c>
      <c r="B18" s="28" t="s">
        <v>1273</v>
      </c>
      <c r="C18" s="28" t="s">
        <v>1273</v>
      </c>
      <c r="D18" s="28" t="s">
        <v>1274</v>
      </c>
      <c r="E18" s="28" t="s">
        <v>1273</v>
      </c>
      <c r="F18" s="28" t="s">
        <v>1273</v>
      </c>
      <c r="G18" s="28" t="s">
        <v>1273</v>
      </c>
      <c r="H18" s="28" t="s">
        <v>1273</v>
      </c>
      <c r="I18" s="28" t="s">
        <v>1273</v>
      </c>
      <c r="J18" s="28" t="s">
        <v>1273</v>
      </c>
      <c r="K18" s="28" t="s">
        <v>1273</v>
      </c>
      <c r="L18" s="28" t="s">
        <v>1273</v>
      </c>
      <c r="M18" s="28" t="s">
        <v>1273</v>
      </c>
      <c r="N18" s="28" t="s">
        <v>1273</v>
      </c>
      <c r="O18" s="28" t="s">
        <v>1274</v>
      </c>
      <c r="P18" s="28" t="s">
        <v>1273</v>
      </c>
      <c r="Q18" s="28" t="s">
        <v>1274</v>
      </c>
      <c r="R18" s="28" t="s">
        <v>1273</v>
      </c>
      <c r="S18" s="28" t="s">
        <v>1273</v>
      </c>
      <c r="T18" s="28" t="s">
        <v>1273</v>
      </c>
      <c r="U18" s="28" t="s">
        <v>1274</v>
      </c>
      <c r="V18" s="28" t="s">
        <v>1274</v>
      </c>
      <c r="W18" s="28" t="s">
        <v>1274</v>
      </c>
      <c r="X18" s="28" t="s">
        <v>1274</v>
      </c>
      <c r="Y18" s="28" t="s">
        <v>1274</v>
      </c>
      <c r="Z18" s="28" t="s">
        <v>1274</v>
      </c>
      <c r="AA18" s="28" t="s">
        <v>1274</v>
      </c>
      <c r="AB18" s="28" t="s">
        <v>1274</v>
      </c>
      <c r="AC18" s="28" t="s">
        <v>1274</v>
      </c>
      <c r="AD18" s="28" t="s">
        <v>1274</v>
      </c>
      <c r="AE18" s="28" t="s">
        <v>1274</v>
      </c>
      <c r="AF18" s="28" t="s">
        <v>1274</v>
      </c>
      <c r="AG18" s="28" t="s">
        <v>1274</v>
      </c>
      <c r="AH18" s="28" t="s">
        <v>1274</v>
      </c>
      <c r="AI18" s="28" t="s">
        <v>1274</v>
      </c>
      <c r="AJ18" s="28" t="s">
        <v>1274</v>
      </c>
    </row>
    <row r="19" spans="1:36">
      <c r="A19" s="29" t="s">
        <v>1008</v>
      </c>
      <c r="B19" s="28" t="s">
        <v>1210</v>
      </c>
      <c r="C19" s="28" t="s">
        <v>1210</v>
      </c>
      <c r="D19" s="28" t="s">
        <v>1210</v>
      </c>
      <c r="E19" s="28" t="s">
        <v>1210</v>
      </c>
      <c r="F19" s="28" t="s">
        <v>1273</v>
      </c>
      <c r="G19" s="28" t="s">
        <v>1273</v>
      </c>
      <c r="H19" s="28" t="s">
        <v>1273</v>
      </c>
      <c r="I19" s="28" t="s">
        <v>1272</v>
      </c>
      <c r="J19" s="28" t="s">
        <v>1272</v>
      </c>
      <c r="K19" s="28" t="s">
        <v>1272</v>
      </c>
      <c r="L19" s="28" t="s">
        <v>1272</v>
      </c>
      <c r="M19" s="28" t="s">
        <v>1272</v>
      </c>
      <c r="N19" s="28" t="s">
        <v>1272</v>
      </c>
      <c r="O19" s="28" t="s">
        <v>1272</v>
      </c>
      <c r="P19" s="28" t="s">
        <v>1272</v>
      </c>
      <c r="Q19" s="28" t="s">
        <v>1272</v>
      </c>
      <c r="R19" s="28" t="s">
        <v>1272</v>
      </c>
      <c r="S19" s="28" t="s">
        <v>1272</v>
      </c>
      <c r="T19" s="28" t="s">
        <v>1272</v>
      </c>
      <c r="U19" s="28" t="s">
        <v>1272</v>
      </c>
      <c r="V19" s="28" t="s">
        <v>1273</v>
      </c>
      <c r="W19" s="28" t="s">
        <v>1273</v>
      </c>
      <c r="X19" s="28" t="s">
        <v>1273</v>
      </c>
      <c r="Y19" s="28" t="s">
        <v>1273</v>
      </c>
      <c r="Z19" s="28" t="s">
        <v>1273</v>
      </c>
      <c r="AA19" s="28" t="s">
        <v>1273</v>
      </c>
      <c r="AB19" s="28" t="s">
        <v>1273</v>
      </c>
      <c r="AC19" s="28" t="s">
        <v>1273</v>
      </c>
      <c r="AD19" s="28" t="s">
        <v>1273</v>
      </c>
      <c r="AE19" s="28" t="s">
        <v>1273</v>
      </c>
      <c r="AF19" s="28" t="s">
        <v>1273</v>
      </c>
      <c r="AG19" s="28" t="s">
        <v>1273</v>
      </c>
      <c r="AH19" s="28" t="s">
        <v>1273</v>
      </c>
      <c r="AI19" s="28" t="s">
        <v>1273</v>
      </c>
      <c r="AJ19" s="28" t="s">
        <v>1273</v>
      </c>
    </row>
    <row r="20" spans="1:36">
      <c r="A20" s="29" t="s">
        <v>1017</v>
      </c>
      <c r="B20" s="28" t="s">
        <v>1274</v>
      </c>
      <c r="C20" s="28" t="s">
        <v>1274</v>
      </c>
      <c r="D20" s="28" t="s">
        <v>1274</v>
      </c>
      <c r="E20" s="28" t="s">
        <v>1274</v>
      </c>
      <c r="F20" s="28" t="s">
        <v>1274</v>
      </c>
      <c r="G20" s="28" t="s">
        <v>1274</v>
      </c>
      <c r="H20" s="28" t="s">
        <v>1274</v>
      </c>
      <c r="I20" s="28" t="s">
        <v>1274</v>
      </c>
      <c r="J20" s="28" t="s">
        <v>1274</v>
      </c>
      <c r="K20" s="28" t="s">
        <v>1274</v>
      </c>
      <c r="L20" s="28" t="s">
        <v>1274</v>
      </c>
      <c r="M20" s="28" t="s">
        <v>1274</v>
      </c>
      <c r="N20" s="28" t="s">
        <v>1274</v>
      </c>
      <c r="O20" s="28" t="s">
        <v>1274</v>
      </c>
      <c r="P20" s="28" t="s">
        <v>1274</v>
      </c>
      <c r="Q20" s="28" t="s">
        <v>1274</v>
      </c>
      <c r="R20" s="28" t="s">
        <v>1274</v>
      </c>
      <c r="S20" s="28" t="s">
        <v>1274</v>
      </c>
      <c r="T20" s="28" t="s">
        <v>1274</v>
      </c>
      <c r="U20" s="28" t="s">
        <v>1274</v>
      </c>
      <c r="V20" s="28" t="s">
        <v>1274</v>
      </c>
      <c r="W20" s="28" t="s">
        <v>1274</v>
      </c>
      <c r="X20" s="28" t="s">
        <v>1274</v>
      </c>
      <c r="Y20" s="28" t="s">
        <v>1274</v>
      </c>
      <c r="Z20" s="28" t="s">
        <v>1274</v>
      </c>
      <c r="AA20" s="28" t="s">
        <v>1274</v>
      </c>
      <c r="AB20" s="28" t="s">
        <v>1274</v>
      </c>
      <c r="AC20" s="28" t="s">
        <v>1274</v>
      </c>
      <c r="AD20" s="28" t="s">
        <v>1274</v>
      </c>
      <c r="AE20" s="28" t="s">
        <v>1274</v>
      </c>
      <c r="AF20" s="28" t="s">
        <v>1274</v>
      </c>
      <c r="AG20" s="28" t="s">
        <v>1274</v>
      </c>
      <c r="AH20" s="28" t="s">
        <v>1274</v>
      </c>
      <c r="AI20" s="28" t="s">
        <v>1274</v>
      </c>
      <c r="AJ20" s="28" t="s">
        <v>1274</v>
      </c>
    </row>
    <row r="21" spans="1:36">
      <c r="A21" s="29" t="s">
        <v>1010</v>
      </c>
      <c r="B21" s="28" t="s">
        <v>1272</v>
      </c>
      <c r="C21" s="28" t="s">
        <v>1272</v>
      </c>
      <c r="D21" s="28" t="s">
        <v>1272</v>
      </c>
      <c r="E21" s="28" t="s">
        <v>1272</v>
      </c>
      <c r="F21" s="28" t="s">
        <v>1272</v>
      </c>
      <c r="G21" s="28" t="s">
        <v>1272</v>
      </c>
      <c r="H21" s="28" t="s">
        <v>1272</v>
      </c>
      <c r="I21" s="28" t="s">
        <v>1272</v>
      </c>
      <c r="J21" s="28" t="s">
        <v>1272</v>
      </c>
      <c r="K21" s="28" t="s">
        <v>1272</v>
      </c>
      <c r="L21" s="28" t="s">
        <v>1272</v>
      </c>
      <c r="M21" s="28" t="s">
        <v>1272</v>
      </c>
      <c r="N21" s="28" t="s">
        <v>1272</v>
      </c>
      <c r="O21" s="28" t="s">
        <v>1272</v>
      </c>
      <c r="P21" s="28" t="s">
        <v>1272</v>
      </c>
      <c r="Q21" s="28" t="s">
        <v>1273</v>
      </c>
      <c r="R21" s="28" t="s">
        <v>1273</v>
      </c>
      <c r="S21" s="28" t="s">
        <v>1273</v>
      </c>
      <c r="T21" s="28" t="s">
        <v>1273</v>
      </c>
      <c r="U21" s="28" t="s">
        <v>1273</v>
      </c>
      <c r="V21" s="28" t="s">
        <v>1273</v>
      </c>
      <c r="W21" s="28" t="s">
        <v>1272</v>
      </c>
      <c r="X21" s="28" t="s">
        <v>1272</v>
      </c>
      <c r="Y21" s="28" t="s">
        <v>1272</v>
      </c>
      <c r="Z21" s="28" t="s">
        <v>1272</v>
      </c>
      <c r="AA21" s="28" t="s">
        <v>1273</v>
      </c>
      <c r="AB21" s="28" t="s">
        <v>1273</v>
      </c>
      <c r="AC21" s="28" t="s">
        <v>1273</v>
      </c>
      <c r="AD21" s="28" t="s">
        <v>1273</v>
      </c>
      <c r="AE21" s="28" t="s">
        <v>1273</v>
      </c>
      <c r="AF21" s="28" t="s">
        <v>1273</v>
      </c>
      <c r="AG21" s="28" t="s">
        <v>1273</v>
      </c>
      <c r="AH21" s="28" t="s">
        <v>1273</v>
      </c>
      <c r="AI21" s="28" t="s">
        <v>1272</v>
      </c>
      <c r="AJ21" s="28" t="s">
        <v>1273</v>
      </c>
    </row>
    <row r="22" spans="1:36">
      <c r="A22" s="29" t="s">
        <v>1012</v>
      </c>
      <c r="B22" s="28" t="s">
        <v>1271</v>
      </c>
      <c r="C22" s="28" t="s">
        <v>1271</v>
      </c>
      <c r="D22" s="28" t="s">
        <v>1271</v>
      </c>
      <c r="E22" s="28" t="s">
        <v>1271</v>
      </c>
      <c r="F22" s="28" t="s">
        <v>1271</v>
      </c>
      <c r="G22" s="28" t="s">
        <v>1271</v>
      </c>
      <c r="H22" s="28" t="s">
        <v>1271</v>
      </c>
      <c r="I22" s="28" t="s">
        <v>1271</v>
      </c>
      <c r="J22" s="28" t="s">
        <v>1271</v>
      </c>
      <c r="K22" s="28" t="s">
        <v>1271</v>
      </c>
      <c r="L22" s="28" t="s">
        <v>1271</v>
      </c>
      <c r="M22" s="28" t="s">
        <v>1271</v>
      </c>
      <c r="N22" s="28" t="s">
        <v>1271</v>
      </c>
      <c r="O22" s="28" t="s">
        <v>1271</v>
      </c>
      <c r="P22" s="28" t="s">
        <v>1271</v>
      </c>
      <c r="Q22" s="28" t="s">
        <v>1271</v>
      </c>
      <c r="R22" s="28" t="s">
        <v>1271</v>
      </c>
      <c r="S22" s="28" t="s">
        <v>1271</v>
      </c>
      <c r="T22" s="28" t="s">
        <v>1271</v>
      </c>
      <c r="U22" s="28" t="s">
        <v>1271</v>
      </c>
      <c r="V22" s="28" t="s">
        <v>1271</v>
      </c>
      <c r="W22" s="28" t="s">
        <v>1271</v>
      </c>
      <c r="X22" s="28" t="s">
        <v>1271</v>
      </c>
      <c r="Y22" s="28" t="s">
        <v>1271</v>
      </c>
      <c r="Z22" s="28" t="s">
        <v>1271</v>
      </c>
      <c r="AA22" s="28" t="s">
        <v>1271</v>
      </c>
      <c r="AB22" s="28" t="s">
        <v>1271</v>
      </c>
      <c r="AC22" s="28" t="s">
        <v>1271</v>
      </c>
      <c r="AD22" s="28" t="s">
        <v>1271</v>
      </c>
      <c r="AE22" s="28" t="s">
        <v>1271</v>
      </c>
      <c r="AF22" s="28" t="s">
        <v>1271</v>
      </c>
      <c r="AG22" s="28" t="s">
        <v>1271</v>
      </c>
      <c r="AH22" s="28" t="s">
        <v>1272</v>
      </c>
      <c r="AI22" s="28" t="s">
        <v>1272</v>
      </c>
      <c r="AJ22" s="28" t="s">
        <v>1272</v>
      </c>
    </row>
    <row r="23" spans="1:36">
      <c r="A23" s="29" t="s">
        <v>1171</v>
      </c>
      <c r="B23" s="28" t="s">
        <v>1274</v>
      </c>
      <c r="C23" s="28" t="s">
        <v>1274</v>
      </c>
      <c r="D23" s="28" t="s">
        <v>1274</v>
      </c>
      <c r="E23" s="28" t="s">
        <v>1274</v>
      </c>
      <c r="F23" s="28" t="s">
        <v>1274</v>
      </c>
      <c r="G23" s="28" t="s">
        <v>1274</v>
      </c>
      <c r="H23" s="28" t="s">
        <v>1274</v>
      </c>
      <c r="I23" s="28" t="s">
        <v>1274</v>
      </c>
      <c r="J23" s="28" t="s">
        <v>1274</v>
      </c>
      <c r="K23" s="28" t="s">
        <v>1274</v>
      </c>
      <c r="L23" s="28" t="s">
        <v>1274</v>
      </c>
      <c r="M23" s="28" t="s">
        <v>1274</v>
      </c>
      <c r="N23" s="28" t="s">
        <v>1274</v>
      </c>
      <c r="O23" s="28" t="s">
        <v>1274</v>
      </c>
      <c r="P23" s="28" t="s">
        <v>1274</v>
      </c>
      <c r="Q23" s="28" t="s">
        <v>1274</v>
      </c>
      <c r="R23" s="28" t="s">
        <v>1274</v>
      </c>
      <c r="S23" s="28" t="s">
        <v>1274</v>
      </c>
      <c r="T23" s="28" t="s">
        <v>1274</v>
      </c>
      <c r="U23" s="28" t="s">
        <v>1274</v>
      </c>
      <c r="V23" s="28" t="s">
        <v>1274</v>
      </c>
      <c r="W23" s="28" t="s">
        <v>1274</v>
      </c>
      <c r="X23" s="28" t="s">
        <v>1274</v>
      </c>
      <c r="Y23" s="28" t="s">
        <v>1274</v>
      </c>
      <c r="Z23" s="28" t="s">
        <v>1274</v>
      </c>
      <c r="AA23" s="28" t="s">
        <v>1274</v>
      </c>
      <c r="AB23" s="28" t="s">
        <v>1274</v>
      </c>
      <c r="AC23" s="28" t="s">
        <v>1274</v>
      </c>
      <c r="AD23" s="28" t="s">
        <v>1274</v>
      </c>
      <c r="AE23" s="28" t="s">
        <v>1274</v>
      </c>
      <c r="AF23" s="28" t="s">
        <v>1274</v>
      </c>
      <c r="AG23" s="28" t="s">
        <v>1274</v>
      </c>
      <c r="AH23" s="28" t="s">
        <v>1274</v>
      </c>
      <c r="AI23" s="28" t="s">
        <v>1274</v>
      </c>
      <c r="AJ23" s="28" t="s">
        <v>1274</v>
      </c>
    </row>
    <row r="24" spans="1:36">
      <c r="A24" s="29" t="s">
        <v>322</v>
      </c>
      <c r="B24" s="28" t="s">
        <v>1271</v>
      </c>
      <c r="C24" s="28" t="s">
        <v>1271</v>
      </c>
      <c r="D24" s="28" t="s">
        <v>1271</v>
      </c>
      <c r="E24" s="28" t="s">
        <v>1271</v>
      </c>
      <c r="F24" s="28" t="s">
        <v>1271</v>
      </c>
      <c r="G24" s="28" t="s">
        <v>1271</v>
      </c>
      <c r="H24" s="28" t="s">
        <v>1271</v>
      </c>
      <c r="I24" s="28" t="s">
        <v>1271</v>
      </c>
      <c r="J24" s="28" t="s">
        <v>1271</v>
      </c>
      <c r="K24" s="28" t="s">
        <v>1271</v>
      </c>
      <c r="L24" s="28" t="s">
        <v>1271</v>
      </c>
      <c r="M24" s="28" t="s">
        <v>1271</v>
      </c>
      <c r="N24" s="28" t="s">
        <v>1271</v>
      </c>
      <c r="O24" s="28" t="s">
        <v>1271</v>
      </c>
      <c r="P24" s="28" t="s">
        <v>1271</v>
      </c>
      <c r="Q24" s="28" t="s">
        <v>1271</v>
      </c>
      <c r="R24" s="28" t="s">
        <v>1271</v>
      </c>
      <c r="S24" s="28" t="s">
        <v>1271</v>
      </c>
      <c r="T24" s="28" t="s">
        <v>1271</v>
      </c>
      <c r="U24" s="28" t="s">
        <v>1272</v>
      </c>
      <c r="V24" s="28" t="s">
        <v>1272</v>
      </c>
      <c r="W24" s="28" t="s">
        <v>1272</v>
      </c>
      <c r="X24" s="28" t="s">
        <v>1272</v>
      </c>
      <c r="Y24" s="28" t="s">
        <v>1272</v>
      </c>
      <c r="Z24" s="28" t="s">
        <v>1272</v>
      </c>
      <c r="AA24" s="28" t="s">
        <v>1272</v>
      </c>
      <c r="AB24" s="28" t="s">
        <v>1272</v>
      </c>
      <c r="AC24" s="28" t="s">
        <v>1272</v>
      </c>
      <c r="AD24" s="28" t="s">
        <v>1272</v>
      </c>
      <c r="AE24" s="28" t="s">
        <v>1272</v>
      </c>
      <c r="AF24" s="28" t="s">
        <v>1272</v>
      </c>
      <c r="AG24" s="28" t="s">
        <v>1272</v>
      </c>
      <c r="AH24" s="28" t="s">
        <v>1272</v>
      </c>
      <c r="AI24" s="28" t="s">
        <v>1272</v>
      </c>
      <c r="AJ24" s="28" t="s">
        <v>1272</v>
      </c>
    </row>
    <row r="25" spans="1:36">
      <c r="A25" s="29" t="s">
        <v>1013</v>
      </c>
      <c r="B25" s="28" t="s">
        <v>1272</v>
      </c>
      <c r="C25" s="28" t="s">
        <v>1272</v>
      </c>
      <c r="D25" s="28" t="s">
        <v>1272</v>
      </c>
      <c r="E25" s="28" t="s">
        <v>1272</v>
      </c>
      <c r="F25" s="28" t="s">
        <v>1272</v>
      </c>
      <c r="G25" s="28" t="s">
        <v>1272</v>
      </c>
      <c r="H25" s="28" t="s">
        <v>1272</v>
      </c>
      <c r="I25" s="28" t="s">
        <v>1272</v>
      </c>
      <c r="J25" s="28" t="s">
        <v>1272</v>
      </c>
      <c r="K25" s="28" t="s">
        <v>1272</v>
      </c>
      <c r="L25" s="28" t="s">
        <v>1272</v>
      </c>
      <c r="M25" s="28" t="s">
        <v>1272</v>
      </c>
      <c r="N25" s="28" t="s">
        <v>1272</v>
      </c>
      <c r="O25" s="28" t="s">
        <v>1272</v>
      </c>
      <c r="P25" s="28" t="s">
        <v>1272</v>
      </c>
      <c r="Q25" s="28" t="s">
        <v>1272</v>
      </c>
      <c r="R25" s="28" t="s">
        <v>1272</v>
      </c>
      <c r="S25" s="28" t="s">
        <v>1272</v>
      </c>
      <c r="T25" s="28" t="s">
        <v>1272</v>
      </c>
      <c r="U25" s="28" t="s">
        <v>1272</v>
      </c>
      <c r="V25" s="28" t="s">
        <v>1272</v>
      </c>
      <c r="W25" s="28" t="s">
        <v>1272</v>
      </c>
      <c r="X25" s="28" t="s">
        <v>1272</v>
      </c>
      <c r="Y25" s="28" t="s">
        <v>1272</v>
      </c>
      <c r="Z25" s="28" t="s">
        <v>1272</v>
      </c>
      <c r="AA25" s="28" t="s">
        <v>1272</v>
      </c>
      <c r="AB25" s="28" t="s">
        <v>1272</v>
      </c>
      <c r="AC25" s="28" t="s">
        <v>1272</v>
      </c>
      <c r="AD25" s="28" t="s">
        <v>1272</v>
      </c>
      <c r="AE25" s="28" t="s">
        <v>1272</v>
      </c>
      <c r="AF25" s="28" t="s">
        <v>1272</v>
      </c>
      <c r="AG25" s="28" t="s">
        <v>1272</v>
      </c>
      <c r="AH25" s="28" t="s">
        <v>1272</v>
      </c>
      <c r="AI25" s="28" t="s">
        <v>1272</v>
      </c>
      <c r="AJ25" s="28" t="s">
        <v>1272</v>
      </c>
    </row>
    <row r="26" spans="1:36">
      <c r="A26" s="29" t="s">
        <v>1023</v>
      </c>
      <c r="B26" s="28" t="s">
        <v>1210</v>
      </c>
      <c r="C26" s="28" t="s">
        <v>1210</v>
      </c>
      <c r="D26" s="28" t="s">
        <v>1210</v>
      </c>
      <c r="E26" s="28" t="s">
        <v>1210</v>
      </c>
      <c r="F26" s="28" t="s">
        <v>1210</v>
      </c>
      <c r="G26" s="28" t="s">
        <v>1272</v>
      </c>
      <c r="H26" s="28" t="s">
        <v>1271</v>
      </c>
      <c r="I26" s="28" t="s">
        <v>1271</v>
      </c>
      <c r="J26" s="28" t="s">
        <v>1271</v>
      </c>
      <c r="K26" s="28" t="s">
        <v>1271</v>
      </c>
      <c r="L26" s="28" t="s">
        <v>1271</v>
      </c>
      <c r="M26" s="28" t="s">
        <v>1272</v>
      </c>
      <c r="N26" s="28" t="s">
        <v>1272</v>
      </c>
      <c r="O26" s="28" t="s">
        <v>1272</v>
      </c>
      <c r="P26" s="28" t="s">
        <v>1272</v>
      </c>
      <c r="Q26" s="28" t="s">
        <v>1272</v>
      </c>
      <c r="R26" s="28" t="s">
        <v>1272</v>
      </c>
      <c r="S26" s="28" t="s">
        <v>1272</v>
      </c>
      <c r="T26" s="28" t="s">
        <v>1272</v>
      </c>
      <c r="U26" s="28" t="s">
        <v>1272</v>
      </c>
      <c r="V26" s="28" t="s">
        <v>1272</v>
      </c>
      <c r="W26" s="28" t="s">
        <v>1273</v>
      </c>
      <c r="X26" s="28" t="s">
        <v>1273</v>
      </c>
      <c r="Y26" s="28" t="s">
        <v>1273</v>
      </c>
      <c r="Z26" s="28" t="s">
        <v>1273</v>
      </c>
      <c r="AA26" s="28" t="s">
        <v>1273</v>
      </c>
      <c r="AB26" s="28" t="s">
        <v>1273</v>
      </c>
      <c r="AC26" s="28" t="s">
        <v>1273</v>
      </c>
      <c r="AD26" s="28" t="s">
        <v>1273</v>
      </c>
      <c r="AE26" s="28" t="s">
        <v>1273</v>
      </c>
      <c r="AF26" s="28" t="s">
        <v>1273</v>
      </c>
      <c r="AG26" s="28" t="s">
        <v>1273</v>
      </c>
      <c r="AH26" s="28" t="s">
        <v>1273</v>
      </c>
      <c r="AI26" s="28" t="s">
        <v>1273</v>
      </c>
      <c r="AJ26" s="28" t="s">
        <v>1273</v>
      </c>
    </row>
    <row r="27" spans="1:36">
      <c r="A27" s="29" t="s">
        <v>1015</v>
      </c>
      <c r="B27" s="28" t="s">
        <v>1272</v>
      </c>
      <c r="C27" s="28" t="s">
        <v>1272</v>
      </c>
      <c r="D27" s="28" t="s">
        <v>1272</v>
      </c>
      <c r="E27" s="28" t="s">
        <v>1272</v>
      </c>
      <c r="F27" s="28" t="s">
        <v>1273</v>
      </c>
      <c r="G27" s="28" t="s">
        <v>1273</v>
      </c>
      <c r="H27" s="28" t="s">
        <v>1272</v>
      </c>
      <c r="I27" s="28" t="s">
        <v>1272</v>
      </c>
      <c r="J27" s="28" t="s">
        <v>1272</v>
      </c>
      <c r="K27" s="28" t="s">
        <v>1272</v>
      </c>
      <c r="L27" s="28" t="s">
        <v>1273</v>
      </c>
      <c r="M27" s="28" t="s">
        <v>1273</v>
      </c>
      <c r="N27" s="28" t="s">
        <v>1273</v>
      </c>
      <c r="O27" s="28" t="s">
        <v>1273</v>
      </c>
      <c r="P27" s="28" t="s">
        <v>1273</v>
      </c>
      <c r="Q27" s="28" t="s">
        <v>1273</v>
      </c>
      <c r="R27" s="28" t="s">
        <v>1273</v>
      </c>
      <c r="S27" s="28" t="s">
        <v>1273</v>
      </c>
      <c r="T27" s="28" t="s">
        <v>1273</v>
      </c>
      <c r="U27" s="28" t="s">
        <v>1273</v>
      </c>
      <c r="V27" s="28" t="s">
        <v>1273</v>
      </c>
      <c r="W27" s="28" t="s">
        <v>1273</v>
      </c>
      <c r="X27" s="28" t="s">
        <v>1273</v>
      </c>
      <c r="Y27" s="28" t="s">
        <v>1273</v>
      </c>
      <c r="Z27" s="28" t="s">
        <v>1273</v>
      </c>
      <c r="AA27" s="28" t="s">
        <v>1273</v>
      </c>
      <c r="AB27" s="28" t="s">
        <v>1273</v>
      </c>
      <c r="AC27" s="28" t="s">
        <v>1273</v>
      </c>
      <c r="AD27" s="28" t="s">
        <v>1273</v>
      </c>
      <c r="AE27" s="28" t="s">
        <v>1273</v>
      </c>
      <c r="AF27" s="28" t="s">
        <v>1273</v>
      </c>
      <c r="AG27" s="28" t="s">
        <v>1273</v>
      </c>
      <c r="AH27" s="28" t="s">
        <v>1273</v>
      </c>
      <c r="AI27" s="28" t="s">
        <v>1273</v>
      </c>
      <c r="AJ27" s="28" t="s">
        <v>1273</v>
      </c>
    </row>
    <row r="28" spans="1:36">
      <c r="A28" s="29" t="s">
        <v>330</v>
      </c>
      <c r="B28" s="28" t="s">
        <v>1273</v>
      </c>
      <c r="C28" s="28" t="s">
        <v>1272</v>
      </c>
      <c r="D28" s="28" t="s">
        <v>1273</v>
      </c>
      <c r="E28" s="28" t="s">
        <v>1273</v>
      </c>
      <c r="F28" s="28" t="s">
        <v>1273</v>
      </c>
      <c r="G28" s="28" t="s">
        <v>1273</v>
      </c>
      <c r="H28" s="28" t="s">
        <v>1273</v>
      </c>
      <c r="I28" s="28" t="s">
        <v>1273</v>
      </c>
      <c r="J28" s="28" t="s">
        <v>1273</v>
      </c>
      <c r="K28" s="28" t="s">
        <v>1273</v>
      </c>
      <c r="L28" s="28" t="s">
        <v>1273</v>
      </c>
      <c r="M28" s="28" t="s">
        <v>1273</v>
      </c>
      <c r="N28" s="28" t="s">
        <v>1273</v>
      </c>
      <c r="O28" s="28" t="s">
        <v>1273</v>
      </c>
      <c r="P28" s="28" t="s">
        <v>1273</v>
      </c>
      <c r="Q28" s="28" t="s">
        <v>1272</v>
      </c>
      <c r="R28" s="28" t="s">
        <v>1272</v>
      </c>
      <c r="S28" s="28" t="s">
        <v>1272</v>
      </c>
      <c r="T28" s="28" t="s">
        <v>1272</v>
      </c>
      <c r="U28" s="28" t="s">
        <v>1273</v>
      </c>
      <c r="V28" s="28" t="s">
        <v>1273</v>
      </c>
      <c r="W28" s="28" t="s">
        <v>1273</v>
      </c>
      <c r="X28" s="28" t="s">
        <v>1273</v>
      </c>
      <c r="Y28" s="28" t="s">
        <v>1273</v>
      </c>
      <c r="Z28" s="28" t="s">
        <v>1273</v>
      </c>
      <c r="AA28" s="28" t="s">
        <v>1273</v>
      </c>
      <c r="AB28" s="28" t="s">
        <v>1273</v>
      </c>
      <c r="AC28" s="28" t="s">
        <v>1273</v>
      </c>
      <c r="AD28" s="28" t="s">
        <v>1273</v>
      </c>
      <c r="AE28" s="28" t="s">
        <v>1273</v>
      </c>
      <c r="AF28" s="28" t="s">
        <v>1273</v>
      </c>
      <c r="AG28" s="28" t="s">
        <v>1273</v>
      </c>
      <c r="AH28" s="28" t="s">
        <v>1273</v>
      </c>
      <c r="AI28" s="28" t="s">
        <v>1273</v>
      </c>
      <c r="AJ28" s="28" t="s">
        <v>1273</v>
      </c>
    </row>
    <row r="29" spans="1:36">
      <c r="A29" s="29" t="s">
        <v>1206</v>
      </c>
      <c r="B29" s="28" t="s">
        <v>1210</v>
      </c>
      <c r="C29" s="28" t="s">
        <v>1210</v>
      </c>
      <c r="D29" s="28" t="s">
        <v>1210</v>
      </c>
      <c r="E29" s="28" t="s">
        <v>1210</v>
      </c>
      <c r="F29" s="28" t="s">
        <v>1210</v>
      </c>
      <c r="G29" s="28" t="s">
        <v>1210</v>
      </c>
      <c r="H29" s="28" t="s">
        <v>1210</v>
      </c>
      <c r="I29" s="28" t="s">
        <v>1210</v>
      </c>
      <c r="J29" s="28" t="s">
        <v>1210</v>
      </c>
      <c r="K29" s="28" t="s">
        <v>1210</v>
      </c>
      <c r="L29" s="28" t="s">
        <v>1210</v>
      </c>
      <c r="M29" s="28" t="s">
        <v>1210</v>
      </c>
      <c r="N29" s="28" t="s">
        <v>1210</v>
      </c>
      <c r="O29" s="28" t="s">
        <v>1210</v>
      </c>
      <c r="P29" s="28" t="s">
        <v>1210</v>
      </c>
      <c r="Q29" s="28" t="s">
        <v>1210</v>
      </c>
      <c r="R29" s="28" t="s">
        <v>1210</v>
      </c>
      <c r="S29" s="28" t="s">
        <v>1210</v>
      </c>
      <c r="T29" s="28" t="s">
        <v>1210</v>
      </c>
      <c r="U29" s="28" t="s">
        <v>1210</v>
      </c>
      <c r="V29" s="28" t="s">
        <v>1210</v>
      </c>
      <c r="W29" s="28" t="s">
        <v>1210</v>
      </c>
      <c r="X29" s="28" t="s">
        <v>1210</v>
      </c>
      <c r="Y29" s="28" t="s">
        <v>1210</v>
      </c>
      <c r="Z29" s="28" t="s">
        <v>1210</v>
      </c>
      <c r="AA29" s="28" t="s">
        <v>1210</v>
      </c>
      <c r="AB29" s="28" t="s">
        <v>1210</v>
      </c>
      <c r="AC29" s="28" t="s">
        <v>1210</v>
      </c>
      <c r="AD29" s="28" t="s">
        <v>1274</v>
      </c>
      <c r="AE29" s="28" t="s">
        <v>1274</v>
      </c>
      <c r="AF29" s="28" t="s">
        <v>1274</v>
      </c>
      <c r="AG29" s="28" t="s">
        <v>1274</v>
      </c>
      <c r="AH29" s="28" t="s">
        <v>1274</v>
      </c>
      <c r="AI29" s="28" t="s">
        <v>1274</v>
      </c>
      <c r="AJ29" s="28" t="s">
        <v>1274</v>
      </c>
    </row>
    <row r="30" spans="1:36">
      <c r="A30" s="29" t="s">
        <v>1025</v>
      </c>
      <c r="B30" s="28" t="s">
        <v>1274</v>
      </c>
      <c r="C30" s="28" t="s">
        <v>1210</v>
      </c>
      <c r="D30" s="28" t="s">
        <v>1210</v>
      </c>
      <c r="E30" s="28" t="s">
        <v>1274</v>
      </c>
      <c r="F30" s="28" t="s">
        <v>1274</v>
      </c>
      <c r="G30" s="28" t="s">
        <v>1274</v>
      </c>
      <c r="H30" s="28" t="s">
        <v>1274</v>
      </c>
      <c r="I30" s="28" t="s">
        <v>1274</v>
      </c>
      <c r="J30" s="28" t="s">
        <v>1274</v>
      </c>
      <c r="K30" s="28" t="s">
        <v>1274</v>
      </c>
      <c r="L30" s="28" t="s">
        <v>1274</v>
      </c>
      <c r="M30" s="28" t="s">
        <v>1274</v>
      </c>
      <c r="N30" s="28" t="s">
        <v>1274</v>
      </c>
      <c r="O30" s="28" t="s">
        <v>1274</v>
      </c>
      <c r="P30" s="28" t="s">
        <v>1274</v>
      </c>
      <c r="Q30" s="28" t="s">
        <v>1274</v>
      </c>
      <c r="R30" s="28" t="s">
        <v>1274</v>
      </c>
      <c r="S30" s="28" t="s">
        <v>1274</v>
      </c>
      <c r="T30" s="28" t="s">
        <v>1274</v>
      </c>
      <c r="U30" s="28" t="s">
        <v>1274</v>
      </c>
      <c r="V30" s="28" t="s">
        <v>1274</v>
      </c>
      <c r="W30" s="28" t="s">
        <v>1274</v>
      </c>
      <c r="X30" s="28" t="s">
        <v>1274</v>
      </c>
      <c r="Y30" s="28" t="s">
        <v>1274</v>
      </c>
      <c r="Z30" s="28" t="s">
        <v>1274</v>
      </c>
      <c r="AA30" s="28" t="s">
        <v>1274</v>
      </c>
      <c r="AB30" s="28" t="s">
        <v>1274</v>
      </c>
      <c r="AC30" s="28" t="s">
        <v>1274</v>
      </c>
      <c r="AD30" s="28" t="s">
        <v>1274</v>
      </c>
      <c r="AE30" s="28" t="s">
        <v>1274</v>
      </c>
      <c r="AF30" s="28" t="s">
        <v>1274</v>
      </c>
      <c r="AG30" s="28" t="s">
        <v>1274</v>
      </c>
      <c r="AH30" s="28" t="s">
        <v>1274</v>
      </c>
      <c r="AI30" s="28" t="s">
        <v>1274</v>
      </c>
      <c r="AJ30" s="28" t="s">
        <v>1274</v>
      </c>
    </row>
    <row r="31" spans="1:36">
      <c r="A31" s="29" t="s">
        <v>1016</v>
      </c>
      <c r="B31" s="28" t="s">
        <v>1210</v>
      </c>
      <c r="C31" s="28" t="s">
        <v>1210</v>
      </c>
      <c r="D31" s="28" t="s">
        <v>1272</v>
      </c>
      <c r="E31" s="28" t="s">
        <v>1272</v>
      </c>
      <c r="F31" s="28" t="s">
        <v>1272</v>
      </c>
      <c r="G31" s="28" t="s">
        <v>1272</v>
      </c>
      <c r="H31" s="28" t="s">
        <v>1272</v>
      </c>
      <c r="I31" s="28" t="s">
        <v>1272</v>
      </c>
      <c r="J31" s="28" t="s">
        <v>1272</v>
      </c>
      <c r="K31" s="28" t="s">
        <v>1272</v>
      </c>
      <c r="L31" s="28" t="s">
        <v>1272</v>
      </c>
      <c r="M31" s="28" t="s">
        <v>1272</v>
      </c>
      <c r="N31" s="28" t="s">
        <v>1272</v>
      </c>
      <c r="O31" s="28" t="s">
        <v>1272</v>
      </c>
      <c r="P31" s="28" t="s">
        <v>1272</v>
      </c>
      <c r="Q31" s="28" t="s">
        <v>1272</v>
      </c>
      <c r="R31" s="28" t="s">
        <v>1272</v>
      </c>
      <c r="S31" s="28" t="s">
        <v>1272</v>
      </c>
      <c r="T31" s="28" t="s">
        <v>1272</v>
      </c>
      <c r="U31" s="28" t="s">
        <v>1273</v>
      </c>
      <c r="V31" s="28" t="s">
        <v>1273</v>
      </c>
      <c r="W31" s="28" t="s">
        <v>1273</v>
      </c>
      <c r="X31" s="28" t="s">
        <v>1273</v>
      </c>
      <c r="Y31" s="28" t="s">
        <v>1273</v>
      </c>
      <c r="Z31" s="28" t="s">
        <v>1273</v>
      </c>
      <c r="AA31" s="28" t="s">
        <v>1273</v>
      </c>
      <c r="AB31" s="28" t="s">
        <v>1273</v>
      </c>
      <c r="AC31" s="28" t="s">
        <v>1273</v>
      </c>
      <c r="AD31" s="28" t="s">
        <v>1273</v>
      </c>
      <c r="AE31" s="28" t="s">
        <v>1273</v>
      </c>
      <c r="AF31" s="28" t="s">
        <v>1273</v>
      </c>
      <c r="AG31" s="28" t="s">
        <v>1273</v>
      </c>
      <c r="AH31" s="28" t="s">
        <v>1273</v>
      </c>
      <c r="AI31" s="28" t="s">
        <v>1273</v>
      </c>
      <c r="AJ31" s="28" t="s">
        <v>1273</v>
      </c>
    </row>
    <row r="32" spans="1:36">
      <c r="A32" s="29" t="s">
        <v>1018</v>
      </c>
      <c r="B32" s="28" t="s">
        <v>1271</v>
      </c>
      <c r="C32" s="28" t="s">
        <v>1271</v>
      </c>
      <c r="D32" s="28" t="s">
        <v>1271</v>
      </c>
      <c r="E32" s="28" t="s">
        <v>1271</v>
      </c>
      <c r="F32" s="28" t="s">
        <v>1271</v>
      </c>
      <c r="G32" s="28" t="s">
        <v>1271</v>
      </c>
      <c r="H32" s="28" t="s">
        <v>1271</v>
      </c>
      <c r="I32" s="28" t="s">
        <v>1271</v>
      </c>
      <c r="J32" s="28" t="s">
        <v>1271</v>
      </c>
      <c r="K32" s="28" t="s">
        <v>1271</v>
      </c>
      <c r="L32" s="28" t="s">
        <v>1271</v>
      </c>
      <c r="M32" s="28" t="s">
        <v>1271</v>
      </c>
      <c r="N32" s="28" t="s">
        <v>1271</v>
      </c>
      <c r="O32" s="28" t="s">
        <v>1271</v>
      </c>
      <c r="P32" s="28" t="s">
        <v>1271</v>
      </c>
      <c r="Q32" s="28" t="s">
        <v>1271</v>
      </c>
      <c r="R32" s="28" t="s">
        <v>1271</v>
      </c>
      <c r="S32" s="28" t="s">
        <v>1271</v>
      </c>
      <c r="T32" s="28" t="s">
        <v>1271</v>
      </c>
      <c r="U32" s="28" t="s">
        <v>1271</v>
      </c>
      <c r="V32" s="28" t="s">
        <v>1271</v>
      </c>
      <c r="W32" s="28" t="s">
        <v>1271</v>
      </c>
      <c r="X32" s="28" t="s">
        <v>1271</v>
      </c>
      <c r="Y32" s="28" t="s">
        <v>1271</v>
      </c>
      <c r="Z32" s="28" t="s">
        <v>1271</v>
      </c>
      <c r="AA32" s="28" t="s">
        <v>1271</v>
      </c>
      <c r="AB32" s="28" t="s">
        <v>1271</v>
      </c>
      <c r="AC32" s="28" t="s">
        <v>1271</v>
      </c>
      <c r="AD32" s="28" t="s">
        <v>1271</v>
      </c>
      <c r="AE32" s="28" t="s">
        <v>1271</v>
      </c>
      <c r="AF32" s="28" t="s">
        <v>1271</v>
      </c>
      <c r="AG32" s="28" t="s">
        <v>1271</v>
      </c>
      <c r="AH32" s="28" t="s">
        <v>1271</v>
      </c>
      <c r="AI32" s="28" t="s">
        <v>1271</v>
      </c>
      <c r="AJ32" s="28" t="s">
        <v>1271</v>
      </c>
    </row>
    <row r="33" spans="1:36">
      <c r="A33" s="29" t="s">
        <v>1019</v>
      </c>
      <c r="B33" s="28" t="s">
        <v>1271</v>
      </c>
      <c r="C33" s="28" t="s">
        <v>1271</v>
      </c>
      <c r="D33" s="28" t="s">
        <v>1271</v>
      </c>
      <c r="E33" s="28" t="s">
        <v>1271</v>
      </c>
      <c r="F33" s="28" t="s">
        <v>1271</v>
      </c>
      <c r="G33" s="28" t="s">
        <v>1271</v>
      </c>
      <c r="H33" s="28" t="s">
        <v>1271</v>
      </c>
      <c r="I33" s="28" t="s">
        <v>1271</v>
      </c>
      <c r="J33" s="28" t="s">
        <v>1271</v>
      </c>
      <c r="K33" s="28" t="s">
        <v>1271</v>
      </c>
      <c r="L33" s="28" t="s">
        <v>1271</v>
      </c>
      <c r="M33" s="28" t="s">
        <v>1271</v>
      </c>
      <c r="N33" s="28" t="s">
        <v>1271</v>
      </c>
      <c r="O33" s="28" t="s">
        <v>1271</v>
      </c>
      <c r="P33" s="28" t="s">
        <v>1271</v>
      </c>
      <c r="Q33" s="28" t="s">
        <v>1271</v>
      </c>
      <c r="R33" s="28" t="s">
        <v>1271</v>
      </c>
      <c r="S33" s="28" t="s">
        <v>1271</v>
      </c>
      <c r="T33" s="28" t="s">
        <v>1271</v>
      </c>
      <c r="U33" s="28" t="s">
        <v>1271</v>
      </c>
      <c r="V33" s="28" t="s">
        <v>1271</v>
      </c>
      <c r="W33" s="28" t="s">
        <v>1271</v>
      </c>
      <c r="X33" s="28" t="s">
        <v>1271</v>
      </c>
      <c r="Y33" s="28" t="s">
        <v>1271</v>
      </c>
      <c r="Z33" s="28" t="s">
        <v>1271</v>
      </c>
      <c r="AA33" s="28" t="s">
        <v>1271</v>
      </c>
      <c r="AB33" s="28" t="s">
        <v>1271</v>
      </c>
      <c r="AC33" s="28" t="s">
        <v>1271</v>
      </c>
      <c r="AD33" s="28" t="s">
        <v>1271</v>
      </c>
      <c r="AE33" s="28" t="s">
        <v>1271</v>
      </c>
      <c r="AF33" s="28" t="s">
        <v>1271</v>
      </c>
      <c r="AG33" s="28" t="s">
        <v>1271</v>
      </c>
      <c r="AH33" s="28" t="s">
        <v>1271</v>
      </c>
      <c r="AI33" s="28" t="s">
        <v>1271</v>
      </c>
      <c r="AJ33" s="28" t="s">
        <v>1271</v>
      </c>
    </row>
    <row r="34" spans="1:36">
      <c r="A34" s="29" t="s">
        <v>1030</v>
      </c>
      <c r="B34" s="28" t="s">
        <v>1210</v>
      </c>
      <c r="C34" s="28" t="s">
        <v>1272</v>
      </c>
      <c r="D34" s="28" t="s">
        <v>1272</v>
      </c>
      <c r="E34" s="28" t="s">
        <v>1272</v>
      </c>
      <c r="F34" s="28" t="s">
        <v>1272</v>
      </c>
      <c r="G34" s="28" t="s">
        <v>1272</v>
      </c>
      <c r="H34" s="28" t="s">
        <v>1272</v>
      </c>
      <c r="I34" s="28" t="s">
        <v>1272</v>
      </c>
      <c r="J34" s="28" t="s">
        <v>1272</v>
      </c>
      <c r="K34" s="28" t="s">
        <v>1272</v>
      </c>
      <c r="L34" s="28" t="s">
        <v>1272</v>
      </c>
      <c r="M34" s="28" t="s">
        <v>1272</v>
      </c>
      <c r="N34" s="28" t="s">
        <v>1272</v>
      </c>
      <c r="O34" s="28" t="s">
        <v>1272</v>
      </c>
      <c r="P34" s="28" t="s">
        <v>1272</v>
      </c>
      <c r="Q34" s="28" t="s">
        <v>1272</v>
      </c>
      <c r="R34" s="28" t="s">
        <v>1272</v>
      </c>
      <c r="S34" s="28" t="s">
        <v>1272</v>
      </c>
      <c r="T34" s="28" t="s">
        <v>1272</v>
      </c>
      <c r="U34" s="28" t="s">
        <v>1272</v>
      </c>
      <c r="V34" s="28" t="s">
        <v>1272</v>
      </c>
      <c r="W34" s="28" t="s">
        <v>1272</v>
      </c>
      <c r="X34" s="28" t="s">
        <v>1272</v>
      </c>
      <c r="Y34" s="28" t="s">
        <v>1272</v>
      </c>
      <c r="Z34" s="28" t="s">
        <v>1272</v>
      </c>
      <c r="AA34" s="28" t="s">
        <v>1272</v>
      </c>
      <c r="AB34" s="28" t="s">
        <v>1272</v>
      </c>
      <c r="AC34" s="28" t="s">
        <v>1272</v>
      </c>
      <c r="AD34" s="28" t="s">
        <v>1272</v>
      </c>
      <c r="AE34" s="28" t="s">
        <v>1272</v>
      </c>
      <c r="AF34" s="28" t="s">
        <v>1272</v>
      </c>
      <c r="AG34" s="28" t="s">
        <v>1272</v>
      </c>
      <c r="AH34" s="28" t="s">
        <v>1272</v>
      </c>
      <c r="AI34" s="28" t="s">
        <v>1272</v>
      </c>
      <c r="AJ34" s="28" t="s">
        <v>1272</v>
      </c>
    </row>
    <row r="35" spans="1:36">
      <c r="A35" s="29" t="s">
        <v>1020</v>
      </c>
      <c r="B35" s="28" t="s">
        <v>1271</v>
      </c>
      <c r="C35" s="28" t="s">
        <v>1271</v>
      </c>
      <c r="D35" s="28" t="s">
        <v>1271</v>
      </c>
      <c r="E35" s="28" t="s">
        <v>1271</v>
      </c>
      <c r="F35" s="28" t="s">
        <v>1271</v>
      </c>
      <c r="G35" s="28" t="s">
        <v>1271</v>
      </c>
      <c r="H35" s="28" t="s">
        <v>1271</v>
      </c>
      <c r="I35" s="28" t="s">
        <v>1271</v>
      </c>
      <c r="J35" s="28" t="s">
        <v>1271</v>
      </c>
      <c r="K35" s="28" t="s">
        <v>1271</v>
      </c>
      <c r="L35" s="28" t="s">
        <v>1271</v>
      </c>
      <c r="M35" s="28" t="s">
        <v>1271</v>
      </c>
      <c r="N35" s="28" t="s">
        <v>1271</v>
      </c>
      <c r="O35" s="28" t="s">
        <v>1271</v>
      </c>
      <c r="P35" s="28" t="s">
        <v>1271</v>
      </c>
      <c r="Q35" s="28" t="s">
        <v>1271</v>
      </c>
      <c r="R35" s="28" t="s">
        <v>1271</v>
      </c>
      <c r="S35" s="28" t="s">
        <v>1271</v>
      </c>
      <c r="T35" s="28" t="s">
        <v>1271</v>
      </c>
      <c r="U35" s="28" t="s">
        <v>1271</v>
      </c>
      <c r="V35" s="28" t="s">
        <v>1271</v>
      </c>
      <c r="W35" s="28" t="s">
        <v>1271</v>
      </c>
      <c r="X35" s="28" t="s">
        <v>1271</v>
      </c>
      <c r="Y35" s="28" t="s">
        <v>1271</v>
      </c>
      <c r="Z35" s="28" t="s">
        <v>1271</v>
      </c>
      <c r="AA35" s="28" t="s">
        <v>1271</v>
      </c>
      <c r="AB35" s="28" t="s">
        <v>1271</v>
      </c>
      <c r="AC35" s="28" t="s">
        <v>1271</v>
      </c>
      <c r="AD35" s="28" t="s">
        <v>1272</v>
      </c>
      <c r="AE35" s="28" t="s">
        <v>1272</v>
      </c>
      <c r="AF35" s="28" t="s">
        <v>1272</v>
      </c>
      <c r="AG35" s="28" t="s">
        <v>1272</v>
      </c>
      <c r="AH35" s="28" t="s">
        <v>1272</v>
      </c>
      <c r="AI35" s="28" t="s">
        <v>1272</v>
      </c>
      <c r="AJ35" s="28" t="s">
        <v>1272</v>
      </c>
    </row>
    <row r="36" spans="1:36">
      <c r="A36" s="29" t="s">
        <v>1021</v>
      </c>
      <c r="B36" s="28" t="s">
        <v>1272</v>
      </c>
      <c r="C36" s="28" t="s">
        <v>1272</v>
      </c>
      <c r="D36" s="28" t="s">
        <v>1272</v>
      </c>
      <c r="E36" s="28" t="s">
        <v>1272</v>
      </c>
      <c r="F36" s="28" t="s">
        <v>1272</v>
      </c>
      <c r="G36" s="28" t="s">
        <v>1272</v>
      </c>
      <c r="H36" s="28" t="s">
        <v>1272</v>
      </c>
      <c r="I36" s="28" t="s">
        <v>1271</v>
      </c>
      <c r="J36" s="28" t="s">
        <v>1271</v>
      </c>
      <c r="K36" s="28" t="s">
        <v>1271</v>
      </c>
      <c r="L36" s="28" t="s">
        <v>1271</v>
      </c>
      <c r="M36" s="28" t="s">
        <v>1271</v>
      </c>
      <c r="N36" s="28" t="s">
        <v>1271</v>
      </c>
      <c r="O36" s="28" t="s">
        <v>1271</v>
      </c>
      <c r="P36" s="28" t="s">
        <v>1271</v>
      </c>
      <c r="Q36" s="28" t="s">
        <v>1271</v>
      </c>
      <c r="R36" s="28" t="s">
        <v>1271</v>
      </c>
      <c r="S36" s="28" t="s">
        <v>1271</v>
      </c>
      <c r="T36" s="28" t="s">
        <v>1272</v>
      </c>
      <c r="U36" s="28" t="s">
        <v>1272</v>
      </c>
      <c r="V36" s="28" t="s">
        <v>1272</v>
      </c>
      <c r="W36" s="28" t="s">
        <v>1272</v>
      </c>
      <c r="X36" s="28" t="s">
        <v>1272</v>
      </c>
      <c r="Y36" s="28" t="s">
        <v>1272</v>
      </c>
      <c r="Z36" s="28" t="s">
        <v>1272</v>
      </c>
      <c r="AA36" s="28" t="s">
        <v>1272</v>
      </c>
      <c r="AB36" s="28" t="s">
        <v>1272</v>
      </c>
      <c r="AC36" s="28" t="s">
        <v>1272</v>
      </c>
      <c r="AD36" s="28" t="s">
        <v>1272</v>
      </c>
      <c r="AE36" s="28" t="s">
        <v>1272</v>
      </c>
      <c r="AF36" s="28" t="s">
        <v>1272</v>
      </c>
      <c r="AG36" s="28" t="s">
        <v>1272</v>
      </c>
      <c r="AH36" s="28" t="s">
        <v>1272</v>
      </c>
      <c r="AI36" s="28" t="s">
        <v>1272</v>
      </c>
      <c r="AJ36" s="28" t="s">
        <v>1272</v>
      </c>
    </row>
    <row r="37" spans="1:36">
      <c r="A37" s="29" t="s">
        <v>1033</v>
      </c>
      <c r="B37" s="28" t="s">
        <v>1274</v>
      </c>
      <c r="C37" s="28" t="s">
        <v>1274</v>
      </c>
      <c r="D37" s="28" t="s">
        <v>1274</v>
      </c>
      <c r="E37" s="28" t="s">
        <v>1274</v>
      </c>
      <c r="F37" s="28" t="s">
        <v>1274</v>
      </c>
      <c r="G37" s="28" t="s">
        <v>1274</v>
      </c>
      <c r="H37" s="28" t="s">
        <v>1274</v>
      </c>
      <c r="I37" s="28" t="s">
        <v>1274</v>
      </c>
      <c r="J37" s="28" t="s">
        <v>1274</v>
      </c>
      <c r="K37" s="28" t="s">
        <v>1274</v>
      </c>
      <c r="L37" s="28" t="s">
        <v>1274</v>
      </c>
      <c r="M37" s="28" t="s">
        <v>1274</v>
      </c>
      <c r="N37" s="28" t="s">
        <v>1274</v>
      </c>
      <c r="O37" s="28" t="s">
        <v>1274</v>
      </c>
      <c r="P37" s="28" t="s">
        <v>1274</v>
      </c>
      <c r="Q37" s="28" t="s">
        <v>1274</v>
      </c>
      <c r="R37" s="28" t="s">
        <v>1274</v>
      </c>
      <c r="S37" s="28" t="s">
        <v>1274</v>
      </c>
      <c r="T37" s="28" t="s">
        <v>1274</v>
      </c>
      <c r="U37" s="28" t="s">
        <v>1274</v>
      </c>
      <c r="V37" s="28" t="s">
        <v>1274</v>
      </c>
      <c r="W37" s="28" t="s">
        <v>1274</v>
      </c>
      <c r="X37" s="28" t="s">
        <v>1274</v>
      </c>
      <c r="Y37" s="28" t="s">
        <v>1274</v>
      </c>
      <c r="Z37" s="28" t="s">
        <v>1274</v>
      </c>
      <c r="AA37" s="28" t="s">
        <v>1274</v>
      </c>
      <c r="AB37" s="28" t="s">
        <v>1274</v>
      </c>
      <c r="AC37" s="28" t="s">
        <v>1274</v>
      </c>
      <c r="AD37" s="28" t="s">
        <v>1274</v>
      </c>
      <c r="AE37" s="28" t="s">
        <v>1274</v>
      </c>
      <c r="AF37" s="28" t="s">
        <v>1274</v>
      </c>
      <c r="AG37" s="28" t="s">
        <v>1274</v>
      </c>
      <c r="AH37" s="28" t="s">
        <v>1274</v>
      </c>
      <c r="AI37" s="28" t="s">
        <v>1274</v>
      </c>
      <c r="AJ37" s="28" t="s">
        <v>1274</v>
      </c>
    </row>
    <row r="38" spans="1:36">
      <c r="A38" s="29" t="s">
        <v>1174</v>
      </c>
      <c r="B38" s="28" t="s">
        <v>1210</v>
      </c>
      <c r="C38" s="28" t="s">
        <v>1210</v>
      </c>
      <c r="D38" s="28" t="s">
        <v>1210</v>
      </c>
      <c r="E38" s="28" t="s">
        <v>1210</v>
      </c>
      <c r="F38" s="28" t="s">
        <v>1210</v>
      </c>
      <c r="G38" s="28" t="s">
        <v>1210</v>
      </c>
      <c r="H38" s="28" t="s">
        <v>1274</v>
      </c>
      <c r="I38" s="28" t="s">
        <v>1274</v>
      </c>
      <c r="J38" s="28" t="s">
        <v>1274</v>
      </c>
      <c r="K38" s="28" t="s">
        <v>1274</v>
      </c>
      <c r="L38" s="28" t="s">
        <v>1274</v>
      </c>
      <c r="M38" s="28" t="s">
        <v>1274</v>
      </c>
      <c r="N38" s="28" t="s">
        <v>1274</v>
      </c>
      <c r="O38" s="28" t="s">
        <v>1274</v>
      </c>
      <c r="P38" s="28" t="s">
        <v>1274</v>
      </c>
      <c r="Q38" s="28" t="s">
        <v>1274</v>
      </c>
      <c r="R38" s="28" t="s">
        <v>1274</v>
      </c>
      <c r="S38" s="28" t="s">
        <v>1274</v>
      </c>
      <c r="T38" s="28" t="s">
        <v>1274</v>
      </c>
      <c r="U38" s="28" t="s">
        <v>1274</v>
      </c>
      <c r="V38" s="28" t="s">
        <v>1274</v>
      </c>
      <c r="W38" s="28" t="s">
        <v>1274</v>
      </c>
      <c r="X38" s="28" t="s">
        <v>1274</v>
      </c>
      <c r="Y38" s="28" t="s">
        <v>1274</v>
      </c>
      <c r="Z38" s="28" t="s">
        <v>1274</v>
      </c>
      <c r="AA38" s="28" t="s">
        <v>1274</v>
      </c>
      <c r="AB38" s="28" t="s">
        <v>1274</v>
      </c>
      <c r="AC38" s="28" t="s">
        <v>1274</v>
      </c>
      <c r="AD38" s="28" t="s">
        <v>1274</v>
      </c>
      <c r="AE38" s="28" t="s">
        <v>1274</v>
      </c>
      <c r="AF38" s="28" t="s">
        <v>1274</v>
      </c>
      <c r="AG38" s="28" t="s">
        <v>1274</v>
      </c>
      <c r="AH38" s="28" t="s">
        <v>1274</v>
      </c>
      <c r="AI38" s="28" t="s">
        <v>1274</v>
      </c>
      <c r="AJ38" s="28" t="s">
        <v>1274</v>
      </c>
    </row>
    <row r="39" spans="1:36">
      <c r="A39" s="29" t="s">
        <v>1034</v>
      </c>
      <c r="B39" s="28" t="s">
        <v>1271</v>
      </c>
      <c r="C39" s="28" t="s">
        <v>1271</v>
      </c>
      <c r="D39" s="28" t="s">
        <v>1271</v>
      </c>
      <c r="E39" s="28" t="s">
        <v>1271</v>
      </c>
      <c r="F39" s="28" t="s">
        <v>1271</v>
      </c>
      <c r="G39" s="28" t="s">
        <v>1271</v>
      </c>
      <c r="H39" s="28" t="s">
        <v>1271</v>
      </c>
      <c r="I39" s="28" t="s">
        <v>1271</v>
      </c>
      <c r="J39" s="28" t="s">
        <v>1271</v>
      </c>
      <c r="K39" s="28" t="s">
        <v>1271</v>
      </c>
      <c r="L39" s="28" t="s">
        <v>1271</v>
      </c>
      <c r="M39" s="28" t="s">
        <v>1271</v>
      </c>
      <c r="N39" s="28" t="s">
        <v>1271</v>
      </c>
      <c r="O39" s="28" t="s">
        <v>1271</v>
      </c>
      <c r="P39" s="28" t="s">
        <v>1271</v>
      </c>
      <c r="Q39" s="28" t="s">
        <v>1271</v>
      </c>
      <c r="R39" s="28" t="s">
        <v>1271</v>
      </c>
      <c r="S39" s="28" t="s">
        <v>1271</v>
      </c>
      <c r="T39" s="28" t="s">
        <v>1271</v>
      </c>
      <c r="U39" s="28" t="s">
        <v>1271</v>
      </c>
      <c r="V39" s="28" t="s">
        <v>1271</v>
      </c>
      <c r="W39" s="28" t="s">
        <v>1271</v>
      </c>
      <c r="X39" s="28" t="s">
        <v>1271</v>
      </c>
      <c r="Y39" s="28" t="s">
        <v>1271</v>
      </c>
      <c r="Z39" s="28" t="s">
        <v>1271</v>
      </c>
      <c r="AA39" s="28" t="s">
        <v>1271</v>
      </c>
      <c r="AB39" s="28" t="s">
        <v>1271</v>
      </c>
      <c r="AC39" s="28" t="s">
        <v>1271</v>
      </c>
      <c r="AD39" s="28" t="s">
        <v>1271</v>
      </c>
      <c r="AE39" s="28" t="s">
        <v>1271</v>
      </c>
      <c r="AF39" s="28" t="s">
        <v>1271</v>
      </c>
      <c r="AG39" s="28" t="s">
        <v>1271</v>
      </c>
      <c r="AH39" s="28" t="s">
        <v>1271</v>
      </c>
      <c r="AI39" s="28" t="s">
        <v>1271</v>
      </c>
      <c r="AJ39" s="28" t="s">
        <v>1271</v>
      </c>
    </row>
    <row r="40" spans="1:36">
      <c r="A40" s="29" t="s">
        <v>1024</v>
      </c>
      <c r="B40" s="28" t="s">
        <v>1271</v>
      </c>
      <c r="C40" s="28" t="s">
        <v>1271</v>
      </c>
      <c r="D40" s="28" t="s">
        <v>1271</v>
      </c>
      <c r="E40" s="28" t="s">
        <v>1271</v>
      </c>
      <c r="F40" s="28" t="s">
        <v>1271</v>
      </c>
      <c r="G40" s="28" t="s">
        <v>1271</v>
      </c>
      <c r="H40" s="28" t="s">
        <v>1271</v>
      </c>
      <c r="I40" s="28" t="s">
        <v>1271</v>
      </c>
      <c r="J40" s="28" t="s">
        <v>1271</v>
      </c>
      <c r="K40" s="28" t="s">
        <v>1271</v>
      </c>
      <c r="L40" s="28" t="s">
        <v>1271</v>
      </c>
      <c r="M40" s="28" t="s">
        <v>1271</v>
      </c>
      <c r="N40" s="28" t="s">
        <v>1271</v>
      </c>
      <c r="O40" s="28" t="s">
        <v>1271</v>
      </c>
      <c r="P40" s="28" t="s">
        <v>1271</v>
      </c>
      <c r="Q40" s="28" t="s">
        <v>1271</v>
      </c>
      <c r="R40" s="28" t="s">
        <v>1271</v>
      </c>
      <c r="S40" s="28" t="s">
        <v>1271</v>
      </c>
      <c r="T40" s="28" t="s">
        <v>1271</v>
      </c>
      <c r="U40" s="28" t="s">
        <v>1271</v>
      </c>
      <c r="V40" s="28" t="s">
        <v>1271</v>
      </c>
      <c r="W40" s="28" t="s">
        <v>1271</v>
      </c>
      <c r="X40" s="28" t="s">
        <v>1271</v>
      </c>
      <c r="Y40" s="28" t="s">
        <v>1271</v>
      </c>
      <c r="Z40" s="28" t="s">
        <v>1271</v>
      </c>
      <c r="AA40" s="28" t="s">
        <v>1271</v>
      </c>
      <c r="AB40" s="28" t="s">
        <v>1271</v>
      </c>
      <c r="AC40" s="28" t="s">
        <v>1271</v>
      </c>
      <c r="AD40" s="28" t="s">
        <v>1271</v>
      </c>
      <c r="AE40" s="28" t="s">
        <v>1271</v>
      </c>
      <c r="AF40" s="28" t="s">
        <v>1271</v>
      </c>
      <c r="AG40" s="28" t="s">
        <v>1271</v>
      </c>
      <c r="AH40" s="28" t="s">
        <v>1271</v>
      </c>
      <c r="AI40" s="28" t="s">
        <v>1271</v>
      </c>
      <c r="AJ40" s="28" t="s">
        <v>1271</v>
      </c>
    </row>
    <row r="41" spans="1:36">
      <c r="A41" s="29" t="s">
        <v>1211</v>
      </c>
      <c r="B41" s="28" t="s">
        <v>1274</v>
      </c>
      <c r="C41" s="28" t="s">
        <v>1274</v>
      </c>
      <c r="D41" s="28" t="s">
        <v>1274</v>
      </c>
      <c r="E41" s="28" t="s">
        <v>1274</v>
      </c>
      <c r="F41" s="28" t="s">
        <v>1274</v>
      </c>
      <c r="G41" s="28" t="s">
        <v>1274</v>
      </c>
      <c r="H41" s="28" t="s">
        <v>1274</v>
      </c>
      <c r="I41" s="28" t="s">
        <v>1274</v>
      </c>
      <c r="J41" s="28" t="s">
        <v>1274</v>
      </c>
      <c r="K41" s="28" t="s">
        <v>1274</v>
      </c>
      <c r="L41" s="28" t="s">
        <v>1274</v>
      </c>
      <c r="M41" s="28" t="s">
        <v>1274</v>
      </c>
      <c r="N41" s="28" t="s">
        <v>1274</v>
      </c>
      <c r="O41" s="28" t="s">
        <v>1274</v>
      </c>
      <c r="P41" s="28" t="s">
        <v>1274</v>
      </c>
      <c r="Q41" s="28" t="s">
        <v>1274</v>
      </c>
      <c r="R41" s="28" t="s">
        <v>1274</v>
      </c>
      <c r="S41" s="28" t="s">
        <v>1274</v>
      </c>
      <c r="T41" s="28" t="s">
        <v>1274</v>
      </c>
      <c r="U41" s="28" t="s">
        <v>1274</v>
      </c>
      <c r="V41" s="28" t="s">
        <v>1274</v>
      </c>
      <c r="W41" s="28" t="s">
        <v>1274</v>
      </c>
      <c r="X41" s="28" t="s">
        <v>1274</v>
      </c>
      <c r="Y41" s="28" t="s">
        <v>1274</v>
      </c>
      <c r="Z41" s="28" t="s">
        <v>1274</v>
      </c>
      <c r="AA41" s="28" t="s">
        <v>1274</v>
      </c>
      <c r="AB41" s="28" t="s">
        <v>1274</v>
      </c>
      <c r="AC41" s="28" t="s">
        <v>1274</v>
      </c>
      <c r="AD41" s="28" t="s">
        <v>1274</v>
      </c>
      <c r="AE41" s="28" t="s">
        <v>1274</v>
      </c>
      <c r="AF41" s="28" t="s">
        <v>1274</v>
      </c>
      <c r="AG41" s="28" t="s">
        <v>1274</v>
      </c>
      <c r="AH41" s="28" t="s">
        <v>1274</v>
      </c>
      <c r="AI41" s="28" t="s">
        <v>1274</v>
      </c>
      <c r="AJ41" s="28" t="s">
        <v>1274</v>
      </c>
    </row>
    <row r="42" spans="1:36">
      <c r="A42" s="29" t="s">
        <v>1037</v>
      </c>
      <c r="B42" s="28" t="s">
        <v>1272</v>
      </c>
      <c r="C42" s="28" t="s">
        <v>1272</v>
      </c>
      <c r="D42" s="28" t="s">
        <v>1272</v>
      </c>
      <c r="E42" s="28" t="s">
        <v>1272</v>
      </c>
      <c r="F42" s="28" t="s">
        <v>1272</v>
      </c>
      <c r="G42" s="28" t="s">
        <v>1272</v>
      </c>
      <c r="H42" s="28" t="s">
        <v>1273</v>
      </c>
      <c r="I42" s="28" t="s">
        <v>1273</v>
      </c>
      <c r="J42" s="28" t="s">
        <v>1273</v>
      </c>
      <c r="K42" s="28" t="s">
        <v>1273</v>
      </c>
      <c r="L42" s="28" t="s">
        <v>1273</v>
      </c>
      <c r="M42" s="28" t="s">
        <v>1273</v>
      </c>
      <c r="N42" s="28" t="s">
        <v>1273</v>
      </c>
      <c r="O42" s="28" t="s">
        <v>1273</v>
      </c>
      <c r="P42" s="28" t="s">
        <v>1273</v>
      </c>
      <c r="Q42" s="28" t="s">
        <v>1273</v>
      </c>
      <c r="R42" s="28" t="s">
        <v>1273</v>
      </c>
      <c r="S42" s="28" t="s">
        <v>1273</v>
      </c>
      <c r="T42" s="28" t="s">
        <v>1273</v>
      </c>
      <c r="U42" s="28" t="s">
        <v>1273</v>
      </c>
      <c r="V42" s="28" t="s">
        <v>1273</v>
      </c>
      <c r="W42" s="28" t="s">
        <v>1273</v>
      </c>
      <c r="X42" s="28" t="s">
        <v>1273</v>
      </c>
      <c r="Y42" s="28" t="s">
        <v>1273</v>
      </c>
      <c r="Z42" s="28" t="s">
        <v>1273</v>
      </c>
      <c r="AA42" s="28" t="s">
        <v>1274</v>
      </c>
      <c r="AB42" s="28" t="s">
        <v>1274</v>
      </c>
      <c r="AC42" s="28" t="s">
        <v>1274</v>
      </c>
      <c r="AD42" s="28" t="s">
        <v>1274</v>
      </c>
      <c r="AE42" s="28" t="s">
        <v>1274</v>
      </c>
      <c r="AF42" s="28" t="s">
        <v>1274</v>
      </c>
      <c r="AG42" s="28" t="s">
        <v>1274</v>
      </c>
      <c r="AH42" s="28" t="s">
        <v>1274</v>
      </c>
      <c r="AI42" s="28" t="s">
        <v>1274</v>
      </c>
      <c r="AJ42" s="28" t="s">
        <v>1274</v>
      </c>
    </row>
    <row r="43" spans="1:36">
      <c r="A43" s="29" t="s">
        <v>147</v>
      </c>
      <c r="B43" s="28" t="s">
        <v>1271</v>
      </c>
      <c r="C43" s="28" t="s">
        <v>1271</v>
      </c>
      <c r="D43" s="28" t="s">
        <v>1271</v>
      </c>
      <c r="E43" s="28" t="s">
        <v>1271</v>
      </c>
      <c r="F43" s="28" t="s">
        <v>1271</v>
      </c>
      <c r="G43" s="28" t="s">
        <v>1271</v>
      </c>
      <c r="H43" s="28" t="s">
        <v>1271</v>
      </c>
      <c r="I43" s="28" t="s">
        <v>1271</v>
      </c>
      <c r="J43" s="28" t="s">
        <v>1271</v>
      </c>
      <c r="K43" s="28" t="s">
        <v>1271</v>
      </c>
      <c r="L43" s="28" t="s">
        <v>1272</v>
      </c>
      <c r="M43" s="28" t="s">
        <v>1271</v>
      </c>
      <c r="N43" s="28" t="s">
        <v>1272</v>
      </c>
      <c r="O43" s="28" t="s">
        <v>1272</v>
      </c>
      <c r="P43" s="28" t="s">
        <v>1272</v>
      </c>
      <c r="Q43" s="28" t="s">
        <v>1272</v>
      </c>
      <c r="R43" s="28" t="s">
        <v>1272</v>
      </c>
      <c r="S43" s="28" t="s">
        <v>1272</v>
      </c>
      <c r="T43" s="28" t="s">
        <v>1272</v>
      </c>
      <c r="U43" s="28" t="s">
        <v>1272</v>
      </c>
      <c r="V43" s="28" t="s">
        <v>1272</v>
      </c>
      <c r="W43" s="28" t="s">
        <v>1272</v>
      </c>
      <c r="X43" s="28" t="s">
        <v>1272</v>
      </c>
      <c r="Y43" s="28" t="s">
        <v>1273</v>
      </c>
      <c r="Z43" s="28" t="s">
        <v>1273</v>
      </c>
      <c r="AA43" s="28" t="s">
        <v>1273</v>
      </c>
      <c r="AB43" s="28" t="s">
        <v>1273</v>
      </c>
      <c r="AC43" s="28" t="s">
        <v>1273</v>
      </c>
      <c r="AD43" s="28" t="s">
        <v>1273</v>
      </c>
      <c r="AE43" s="28" t="s">
        <v>1273</v>
      </c>
      <c r="AF43" s="28" t="s">
        <v>1273</v>
      </c>
      <c r="AG43" s="28" t="s">
        <v>1273</v>
      </c>
      <c r="AH43" s="28" t="s">
        <v>1273</v>
      </c>
      <c r="AI43" s="28" t="s">
        <v>1273</v>
      </c>
      <c r="AJ43" s="28" t="s">
        <v>1273</v>
      </c>
    </row>
    <row r="44" spans="1:36">
      <c r="A44" s="29" t="s">
        <v>421</v>
      </c>
      <c r="B44" s="28" t="s">
        <v>1272</v>
      </c>
      <c r="C44" s="28" t="s">
        <v>1272</v>
      </c>
      <c r="D44" s="28" t="s">
        <v>1272</v>
      </c>
      <c r="E44" s="28" t="s">
        <v>1272</v>
      </c>
      <c r="F44" s="28" t="s">
        <v>1272</v>
      </c>
      <c r="G44" s="28" t="s">
        <v>1272</v>
      </c>
      <c r="H44" s="28" t="s">
        <v>1272</v>
      </c>
      <c r="I44" s="28" t="s">
        <v>1272</v>
      </c>
      <c r="J44" s="28" t="s">
        <v>1272</v>
      </c>
      <c r="K44" s="28" t="s">
        <v>1272</v>
      </c>
      <c r="L44" s="28" t="s">
        <v>1272</v>
      </c>
      <c r="M44" s="28" t="s">
        <v>1272</v>
      </c>
      <c r="N44" s="28" t="s">
        <v>1272</v>
      </c>
      <c r="O44" s="28" t="s">
        <v>1272</v>
      </c>
      <c r="P44" s="28" t="s">
        <v>1272</v>
      </c>
      <c r="Q44" s="28" t="s">
        <v>1272</v>
      </c>
      <c r="R44" s="28" t="s">
        <v>1272</v>
      </c>
      <c r="S44" s="28" t="s">
        <v>1272</v>
      </c>
      <c r="T44" s="28" t="s">
        <v>1272</v>
      </c>
      <c r="U44" s="28" t="s">
        <v>1272</v>
      </c>
      <c r="V44" s="28" t="s">
        <v>1272</v>
      </c>
      <c r="W44" s="28" t="s">
        <v>1273</v>
      </c>
      <c r="X44" s="28" t="s">
        <v>1273</v>
      </c>
      <c r="Y44" s="28" t="s">
        <v>1273</v>
      </c>
      <c r="Z44" s="28" t="s">
        <v>1273</v>
      </c>
      <c r="AA44" s="28" t="s">
        <v>1273</v>
      </c>
      <c r="AB44" s="28" t="s">
        <v>1273</v>
      </c>
      <c r="AC44" s="28" t="s">
        <v>1273</v>
      </c>
      <c r="AD44" s="28" t="s">
        <v>1273</v>
      </c>
      <c r="AE44" s="28" t="s">
        <v>1273</v>
      </c>
      <c r="AF44" s="28" t="s">
        <v>1273</v>
      </c>
      <c r="AG44" s="28" t="s">
        <v>1273</v>
      </c>
      <c r="AH44" s="28" t="s">
        <v>1273</v>
      </c>
      <c r="AI44" s="28" t="s">
        <v>1273</v>
      </c>
      <c r="AJ44" s="28" t="s">
        <v>1273</v>
      </c>
    </row>
    <row r="45" spans="1:36">
      <c r="A45" s="29" t="s">
        <v>1026</v>
      </c>
      <c r="B45" s="28" t="s">
        <v>1271</v>
      </c>
      <c r="C45" s="28" t="s">
        <v>1271</v>
      </c>
      <c r="D45" s="28" t="s">
        <v>1271</v>
      </c>
      <c r="E45" s="28" t="s">
        <v>1271</v>
      </c>
      <c r="F45" s="28" t="s">
        <v>1271</v>
      </c>
      <c r="G45" s="28" t="s">
        <v>1271</v>
      </c>
      <c r="H45" s="28" t="s">
        <v>1271</v>
      </c>
      <c r="I45" s="28" t="s">
        <v>1271</v>
      </c>
      <c r="J45" s="28" t="s">
        <v>1271</v>
      </c>
      <c r="K45" s="28" t="s">
        <v>1271</v>
      </c>
      <c r="L45" s="28" t="s">
        <v>1271</v>
      </c>
      <c r="M45" s="28" t="s">
        <v>1271</v>
      </c>
      <c r="N45" s="28" t="s">
        <v>1271</v>
      </c>
      <c r="O45" s="28" t="s">
        <v>1271</v>
      </c>
      <c r="P45" s="28" t="s">
        <v>1271</v>
      </c>
      <c r="Q45" s="28" t="s">
        <v>1271</v>
      </c>
      <c r="R45" s="28" t="s">
        <v>1271</v>
      </c>
      <c r="S45" s="28" t="s">
        <v>1271</v>
      </c>
      <c r="T45" s="28" t="s">
        <v>1271</v>
      </c>
      <c r="U45" s="28" t="s">
        <v>1271</v>
      </c>
      <c r="V45" s="28" t="s">
        <v>1271</v>
      </c>
      <c r="W45" s="28" t="s">
        <v>1271</v>
      </c>
      <c r="X45" s="28" t="s">
        <v>1271</v>
      </c>
      <c r="Y45" s="28" t="s">
        <v>1271</v>
      </c>
      <c r="Z45" s="28" t="s">
        <v>1271</v>
      </c>
      <c r="AA45" s="28" t="s">
        <v>1271</v>
      </c>
      <c r="AB45" s="28" t="s">
        <v>1271</v>
      </c>
      <c r="AC45" s="28" t="s">
        <v>1271</v>
      </c>
      <c r="AD45" s="28" t="s">
        <v>1271</v>
      </c>
      <c r="AE45" s="28" t="s">
        <v>1271</v>
      </c>
      <c r="AF45" s="28" t="s">
        <v>1271</v>
      </c>
      <c r="AG45" s="28" t="s">
        <v>1272</v>
      </c>
      <c r="AH45" s="28" t="s">
        <v>1272</v>
      </c>
      <c r="AI45" s="28" t="s">
        <v>1272</v>
      </c>
      <c r="AJ45" s="28" t="s">
        <v>1272</v>
      </c>
    </row>
    <row r="46" spans="1:36">
      <c r="A46" s="29" t="s">
        <v>1040</v>
      </c>
      <c r="B46" s="28" t="s">
        <v>1271</v>
      </c>
      <c r="C46" s="28" t="s">
        <v>1271</v>
      </c>
      <c r="D46" s="28" t="s">
        <v>1271</v>
      </c>
      <c r="E46" s="28" t="s">
        <v>1271</v>
      </c>
      <c r="F46" s="28" t="s">
        <v>1271</v>
      </c>
      <c r="G46" s="28" t="s">
        <v>1271</v>
      </c>
      <c r="H46" s="28" t="s">
        <v>1271</v>
      </c>
      <c r="I46" s="28" t="s">
        <v>1271</v>
      </c>
      <c r="J46" s="28" t="s">
        <v>1271</v>
      </c>
      <c r="K46" s="28" t="s">
        <v>1271</v>
      </c>
      <c r="L46" s="28" t="s">
        <v>1271</v>
      </c>
      <c r="M46" s="28" t="s">
        <v>1271</v>
      </c>
      <c r="N46" s="28" t="s">
        <v>1271</v>
      </c>
      <c r="O46" s="28" t="s">
        <v>1271</v>
      </c>
      <c r="P46" s="28" t="s">
        <v>1271</v>
      </c>
      <c r="Q46" s="28" t="s">
        <v>1271</v>
      </c>
      <c r="R46" s="28" t="s">
        <v>1271</v>
      </c>
      <c r="S46" s="28" t="s">
        <v>1271</v>
      </c>
      <c r="T46" s="28" t="s">
        <v>1271</v>
      </c>
      <c r="U46" s="28" t="s">
        <v>1271</v>
      </c>
      <c r="V46" s="28" t="s">
        <v>1271</v>
      </c>
      <c r="W46" s="28" t="s">
        <v>1271</v>
      </c>
      <c r="X46" s="28" t="s">
        <v>1271</v>
      </c>
      <c r="Y46" s="28" t="s">
        <v>1271</v>
      </c>
      <c r="Z46" s="28" t="s">
        <v>1271</v>
      </c>
      <c r="AA46" s="28" t="s">
        <v>1271</v>
      </c>
      <c r="AB46" s="28" t="s">
        <v>1271</v>
      </c>
      <c r="AC46" s="28" t="s">
        <v>1271</v>
      </c>
      <c r="AD46" s="28" t="s">
        <v>1271</v>
      </c>
      <c r="AE46" s="28" t="s">
        <v>1271</v>
      </c>
      <c r="AF46" s="28" t="s">
        <v>1271</v>
      </c>
      <c r="AG46" s="28" t="s">
        <v>1271</v>
      </c>
      <c r="AH46" s="28" t="s">
        <v>1271</v>
      </c>
      <c r="AI46" s="28" t="s">
        <v>1271</v>
      </c>
      <c r="AJ46" s="28" t="s">
        <v>1271</v>
      </c>
    </row>
    <row r="47" spans="1:36">
      <c r="A47" s="29" t="s">
        <v>1042</v>
      </c>
      <c r="B47" s="28" t="s">
        <v>1272</v>
      </c>
      <c r="C47" s="28" t="s">
        <v>1272</v>
      </c>
      <c r="D47" s="28" t="s">
        <v>1272</v>
      </c>
      <c r="E47" s="28" t="s">
        <v>1272</v>
      </c>
      <c r="F47" s="28" t="s">
        <v>1272</v>
      </c>
      <c r="G47" s="28" t="s">
        <v>1272</v>
      </c>
      <c r="H47" s="28" t="s">
        <v>1272</v>
      </c>
      <c r="I47" s="28" t="s">
        <v>1271</v>
      </c>
      <c r="J47" s="28" t="s">
        <v>1271</v>
      </c>
      <c r="K47" s="28" t="s">
        <v>1271</v>
      </c>
      <c r="L47" s="28" t="s">
        <v>1271</v>
      </c>
      <c r="M47" s="28" t="s">
        <v>1271</v>
      </c>
      <c r="N47" s="28" t="s">
        <v>1271</v>
      </c>
      <c r="O47" s="28" t="s">
        <v>1271</v>
      </c>
      <c r="P47" s="28" t="s">
        <v>1271</v>
      </c>
      <c r="Q47" s="28" t="s">
        <v>1271</v>
      </c>
      <c r="R47" s="28" t="s">
        <v>1271</v>
      </c>
      <c r="S47" s="28" t="s">
        <v>1271</v>
      </c>
      <c r="T47" s="28" t="s">
        <v>1272</v>
      </c>
      <c r="U47" s="28" t="s">
        <v>1272</v>
      </c>
      <c r="V47" s="28" t="s">
        <v>1272</v>
      </c>
      <c r="W47" s="28" t="s">
        <v>1272</v>
      </c>
      <c r="X47" s="28" t="s">
        <v>1272</v>
      </c>
      <c r="Y47" s="28" t="s">
        <v>1272</v>
      </c>
      <c r="Z47" s="28" t="s">
        <v>1272</v>
      </c>
      <c r="AA47" s="28" t="s">
        <v>1272</v>
      </c>
      <c r="AB47" s="28" t="s">
        <v>1272</v>
      </c>
      <c r="AC47" s="28" t="s">
        <v>1272</v>
      </c>
      <c r="AD47" s="28" t="s">
        <v>1272</v>
      </c>
      <c r="AE47" s="28" t="s">
        <v>1272</v>
      </c>
      <c r="AF47" s="28" t="s">
        <v>1272</v>
      </c>
      <c r="AG47" s="28" t="s">
        <v>1272</v>
      </c>
      <c r="AH47" s="28" t="s">
        <v>1272</v>
      </c>
      <c r="AI47" s="28" t="s">
        <v>1272</v>
      </c>
      <c r="AJ47" s="28" t="s">
        <v>1272</v>
      </c>
    </row>
    <row r="48" spans="1:36">
      <c r="A48" s="29" t="s">
        <v>1028</v>
      </c>
      <c r="B48" s="28" t="s">
        <v>1272</v>
      </c>
      <c r="C48" s="28" t="s">
        <v>1272</v>
      </c>
      <c r="D48" s="28" t="s">
        <v>1272</v>
      </c>
      <c r="E48" s="28" t="s">
        <v>1272</v>
      </c>
      <c r="F48" s="28" t="s">
        <v>1272</v>
      </c>
      <c r="G48" s="28" t="s">
        <v>1272</v>
      </c>
      <c r="H48" s="28" t="s">
        <v>1272</v>
      </c>
      <c r="I48" s="28" t="s">
        <v>1272</v>
      </c>
      <c r="J48" s="28" t="s">
        <v>1272</v>
      </c>
      <c r="K48" s="28" t="s">
        <v>1272</v>
      </c>
      <c r="L48" s="28" t="s">
        <v>1272</v>
      </c>
      <c r="M48" s="28" t="s">
        <v>1272</v>
      </c>
      <c r="N48" s="28" t="s">
        <v>1272</v>
      </c>
      <c r="O48" s="28" t="s">
        <v>1273</v>
      </c>
      <c r="P48" s="28" t="s">
        <v>1273</v>
      </c>
      <c r="Q48" s="28" t="s">
        <v>1273</v>
      </c>
      <c r="R48" s="28" t="s">
        <v>1273</v>
      </c>
      <c r="S48" s="28" t="s">
        <v>1273</v>
      </c>
      <c r="T48" s="28" t="s">
        <v>1273</v>
      </c>
      <c r="U48" s="28" t="s">
        <v>1273</v>
      </c>
      <c r="V48" s="28" t="s">
        <v>1273</v>
      </c>
      <c r="W48" s="28" t="s">
        <v>1273</v>
      </c>
      <c r="X48" s="28" t="s">
        <v>1273</v>
      </c>
      <c r="Y48" s="28" t="s">
        <v>1273</v>
      </c>
      <c r="Z48" s="28" t="s">
        <v>1273</v>
      </c>
      <c r="AA48" s="28" t="s">
        <v>1273</v>
      </c>
      <c r="AB48" s="28" t="s">
        <v>1273</v>
      </c>
      <c r="AC48" s="28" t="s">
        <v>1273</v>
      </c>
      <c r="AD48" s="28" t="s">
        <v>1273</v>
      </c>
      <c r="AE48" s="28" t="s">
        <v>1273</v>
      </c>
      <c r="AF48" s="28" t="s">
        <v>1273</v>
      </c>
      <c r="AG48" s="28" t="s">
        <v>1273</v>
      </c>
      <c r="AH48" s="28" t="s">
        <v>1273</v>
      </c>
      <c r="AI48" s="28" t="s">
        <v>1273</v>
      </c>
      <c r="AJ48" s="28" t="s">
        <v>1273</v>
      </c>
    </row>
    <row r="49" spans="1:36">
      <c r="A49" s="29" t="s">
        <v>1275</v>
      </c>
      <c r="B49" s="28" t="s">
        <v>1272</v>
      </c>
      <c r="C49" s="28" t="s">
        <v>1272</v>
      </c>
      <c r="D49" s="28" t="s">
        <v>1272</v>
      </c>
      <c r="E49" s="28" t="s">
        <v>1272</v>
      </c>
      <c r="F49" s="28" t="s">
        <v>1272</v>
      </c>
      <c r="G49" s="28" t="s">
        <v>1272</v>
      </c>
      <c r="H49" s="28" t="s">
        <v>1271</v>
      </c>
      <c r="I49" s="28" t="s">
        <v>1271</v>
      </c>
      <c r="J49" s="28" t="s">
        <v>1271</v>
      </c>
      <c r="K49" s="28" t="s">
        <v>1271</v>
      </c>
      <c r="L49" s="28" t="s">
        <v>1271</v>
      </c>
      <c r="M49" s="28" t="s">
        <v>1271</v>
      </c>
      <c r="N49" s="28" t="s">
        <v>1271</v>
      </c>
      <c r="O49" s="28" t="s">
        <v>1271</v>
      </c>
      <c r="P49" s="28" t="s">
        <v>1271</v>
      </c>
      <c r="Q49" s="28" t="s">
        <v>1271</v>
      </c>
      <c r="R49" s="28" t="s">
        <v>1271</v>
      </c>
      <c r="S49" s="28" t="s">
        <v>1271</v>
      </c>
      <c r="T49" s="28" t="s">
        <v>1271</v>
      </c>
      <c r="U49" s="28" t="s">
        <v>1271</v>
      </c>
      <c r="V49" s="28" t="s">
        <v>1271</v>
      </c>
      <c r="W49" s="28" t="s">
        <v>1272</v>
      </c>
      <c r="X49" s="28" t="s">
        <v>1272</v>
      </c>
      <c r="Y49" s="28" t="s">
        <v>1272</v>
      </c>
      <c r="Z49" s="28" t="s">
        <v>1272</v>
      </c>
      <c r="AA49" s="28" t="s">
        <v>1272</v>
      </c>
      <c r="AB49" s="28" t="s">
        <v>1272</v>
      </c>
      <c r="AC49" s="28" t="s">
        <v>1272</v>
      </c>
      <c r="AD49" s="28" t="s">
        <v>1272</v>
      </c>
      <c r="AE49" s="28" t="s">
        <v>1272</v>
      </c>
      <c r="AF49" s="28" t="s">
        <v>1272</v>
      </c>
      <c r="AG49" s="28" t="s">
        <v>1272</v>
      </c>
      <c r="AH49" s="28" t="s">
        <v>1272</v>
      </c>
      <c r="AI49" s="28" t="s">
        <v>1272</v>
      </c>
      <c r="AJ49" s="28" t="s">
        <v>1272</v>
      </c>
    </row>
    <row r="50" spans="1:36">
      <c r="A50" s="29" t="s">
        <v>1046</v>
      </c>
      <c r="B50" s="28" t="s">
        <v>1210</v>
      </c>
      <c r="C50" s="28" t="s">
        <v>1210</v>
      </c>
      <c r="D50" s="28" t="s">
        <v>1210</v>
      </c>
      <c r="E50" s="28" t="s">
        <v>1210</v>
      </c>
      <c r="F50" s="28" t="s">
        <v>1210</v>
      </c>
      <c r="G50" s="28" t="s">
        <v>1272</v>
      </c>
      <c r="H50" s="28" t="s">
        <v>1272</v>
      </c>
      <c r="I50" s="28" t="s">
        <v>1272</v>
      </c>
      <c r="J50" s="28" t="s">
        <v>1273</v>
      </c>
      <c r="K50" s="28" t="s">
        <v>1273</v>
      </c>
      <c r="L50" s="28" t="s">
        <v>1273</v>
      </c>
      <c r="M50" s="28" t="s">
        <v>1273</v>
      </c>
      <c r="N50" s="28" t="s">
        <v>1273</v>
      </c>
      <c r="O50" s="28" t="s">
        <v>1273</v>
      </c>
      <c r="P50" s="28" t="s">
        <v>1273</v>
      </c>
      <c r="Q50" s="28" t="s">
        <v>1273</v>
      </c>
      <c r="R50" s="28" t="s">
        <v>1273</v>
      </c>
      <c r="S50" s="28" t="s">
        <v>1273</v>
      </c>
      <c r="T50" s="28" t="s">
        <v>1273</v>
      </c>
      <c r="U50" s="28" t="s">
        <v>1273</v>
      </c>
      <c r="V50" s="28" t="s">
        <v>1273</v>
      </c>
      <c r="W50" s="28" t="s">
        <v>1274</v>
      </c>
      <c r="X50" s="28" t="s">
        <v>1274</v>
      </c>
      <c r="Y50" s="28" t="s">
        <v>1274</v>
      </c>
      <c r="Z50" s="28" t="s">
        <v>1274</v>
      </c>
      <c r="AA50" s="28" t="s">
        <v>1274</v>
      </c>
      <c r="AB50" s="28" t="s">
        <v>1274</v>
      </c>
      <c r="AC50" s="28" t="s">
        <v>1274</v>
      </c>
      <c r="AD50" s="28" t="s">
        <v>1274</v>
      </c>
      <c r="AE50" s="28" t="s">
        <v>1273</v>
      </c>
      <c r="AF50" s="28" t="s">
        <v>1274</v>
      </c>
      <c r="AG50" s="28" t="s">
        <v>1274</v>
      </c>
      <c r="AH50" s="28" t="s">
        <v>1274</v>
      </c>
      <c r="AI50" s="28" t="s">
        <v>1274</v>
      </c>
      <c r="AJ50" s="28" t="s">
        <v>1274</v>
      </c>
    </row>
    <row r="51" spans="1:36">
      <c r="A51" s="29" t="s">
        <v>449</v>
      </c>
      <c r="B51" s="28" t="s">
        <v>1210</v>
      </c>
      <c r="C51" s="28" t="s">
        <v>1210</v>
      </c>
      <c r="D51" s="28" t="s">
        <v>1210</v>
      </c>
      <c r="E51" s="28" t="s">
        <v>1272</v>
      </c>
      <c r="F51" s="28" t="s">
        <v>1272</v>
      </c>
      <c r="G51" s="28" t="s">
        <v>1272</v>
      </c>
      <c r="H51" s="28" t="s">
        <v>1272</v>
      </c>
      <c r="I51" s="28" t="s">
        <v>1272</v>
      </c>
      <c r="J51" s="28" t="s">
        <v>1272</v>
      </c>
      <c r="K51" s="28" t="s">
        <v>1272</v>
      </c>
      <c r="L51" s="28" t="s">
        <v>1272</v>
      </c>
      <c r="M51" s="28" t="s">
        <v>1272</v>
      </c>
      <c r="N51" s="28" t="s">
        <v>1272</v>
      </c>
      <c r="O51" s="28" t="s">
        <v>1272</v>
      </c>
      <c r="P51" s="28" t="s">
        <v>1272</v>
      </c>
      <c r="Q51" s="28" t="s">
        <v>1272</v>
      </c>
      <c r="R51" s="28" t="s">
        <v>1272</v>
      </c>
      <c r="S51" s="28" t="s">
        <v>1272</v>
      </c>
      <c r="T51" s="28" t="s">
        <v>1272</v>
      </c>
      <c r="U51" s="28" t="s">
        <v>1272</v>
      </c>
      <c r="V51" s="28" t="s">
        <v>1273</v>
      </c>
      <c r="W51" s="28" t="s">
        <v>1273</v>
      </c>
      <c r="X51" s="28" t="s">
        <v>1273</v>
      </c>
      <c r="Y51" s="28" t="s">
        <v>1273</v>
      </c>
      <c r="Z51" s="28" t="s">
        <v>1273</v>
      </c>
      <c r="AA51" s="28" t="s">
        <v>1273</v>
      </c>
      <c r="AB51" s="28" t="s">
        <v>1273</v>
      </c>
      <c r="AC51" s="28" t="s">
        <v>1273</v>
      </c>
      <c r="AD51" s="28" t="s">
        <v>1273</v>
      </c>
      <c r="AE51" s="28" t="s">
        <v>1273</v>
      </c>
      <c r="AF51" s="28" t="s">
        <v>1273</v>
      </c>
      <c r="AG51" s="28" t="s">
        <v>1273</v>
      </c>
      <c r="AH51" s="28" t="s">
        <v>1273</v>
      </c>
      <c r="AI51" s="28" t="s">
        <v>1273</v>
      </c>
      <c r="AJ51" s="28" t="s">
        <v>1273</v>
      </c>
    </row>
    <row r="52" spans="1:36">
      <c r="A52" s="29" t="s">
        <v>1276</v>
      </c>
      <c r="B52" s="28" t="s">
        <v>1210</v>
      </c>
      <c r="C52" s="28" t="s">
        <v>1210</v>
      </c>
      <c r="D52" s="28" t="s">
        <v>1210</v>
      </c>
      <c r="E52" s="28" t="s">
        <v>1210</v>
      </c>
      <c r="F52" s="28" t="s">
        <v>1210</v>
      </c>
      <c r="G52" s="28" t="s">
        <v>1210</v>
      </c>
      <c r="H52" s="28" t="s">
        <v>1210</v>
      </c>
      <c r="I52" s="28" t="s">
        <v>1210</v>
      </c>
      <c r="J52" s="28" t="s">
        <v>1210</v>
      </c>
      <c r="K52" s="28" t="s">
        <v>1210</v>
      </c>
      <c r="L52" s="28" t="s">
        <v>1210</v>
      </c>
      <c r="M52" s="28" t="s">
        <v>1210</v>
      </c>
      <c r="N52" s="28" t="s">
        <v>1210</v>
      </c>
      <c r="O52" s="28" t="s">
        <v>1210</v>
      </c>
      <c r="P52" s="28" t="s">
        <v>1210</v>
      </c>
      <c r="Q52" s="28" t="s">
        <v>1210</v>
      </c>
      <c r="R52" s="28" t="s">
        <v>1210</v>
      </c>
      <c r="S52" s="28" t="s">
        <v>1210</v>
      </c>
      <c r="T52" s="28" t="s">
        <v>1210</v>
      </c>
      <c r="U52" s="28" t="s">
        <v>1210</v>
      </c>
      <c r="V52" s="28" t="s">
        <v>1210</v>
      </c>
      <c r="W52" s="28" t="s">
        <v>1210</v>
      </c>
      <c r="X52" s="28" t="s">
        <v>1210</v>
      </c>
      <c r="Y52" s="28" t="s">
        <v>1274</v>
      </c>
      <c r="Z52" s="28" t="s">
        <v>1274</v>
      </c>
      <c r="AA52" s="28" t="s">
        <v>1274</v>
      </c>
      <c r="AB52" s="28" t="s">
        <v>1274</v>
      </c>
      <c r="AC52" s="28" t="s">
        <v>1274</v>
      </c>
      <c r="AD52" s="28" t="s">
        <v>1274</v>
      </c>
      <c r="AE52" s="28" t="s">
        <v>1274</v>
      </c>
      <c r="AF52" s="28" t="s">
        <v>1274</v>
      </c>
      <c r="AG52" s="28" t="s">
        <v>1274</v>
      </c>
      <c r="AH52" s="28" t="s">
        <v>1274</v>
      </c>
      <c r="AI52" s="28" t="s">
        <v>1274</v>
      </c>
      <c r="AJ52" s="28" t="s">
        <v>1274</v>
      </c>
    </row>
    <row r="53" spans="1:36">
      <c r="A53" s="29" t="s">
        <v>1048</v>
      </c>
      <c r="B53" s="28" t="s">
        <v>1273</v>
      </c>
      <c r="C53" s="28" t="s">
        <v>1274</v>
      </c>
      <c r="D53" s="28" t="s">
        <v>1274</v>
      </c>
      <c r="E53" s="28" t="s">
        <v>1274</v>
      </c>
      <c r="F53" s="28" t="s">
        <v>1274</v>
      </c>
      <c r="G53" s="28" t="s">
        <v>1274</v>
      </c>
      <c r="H53" s="28" t="s">
        <v>1274</v>
      </c>
      <c r="I53" s="28" t="s">
        <v>1274</v>
      </c>
      <c r="J53" s="28" t="s">
        <v>1274</v>
      </c>
      <c r="K53" s="28" t="s">
        <v>1274</v>
      </c>
      <c r="L53" s="28" t="s">
        <v>1274</v>
      </c>
      <c r="M53" s="28" t="s">
        <v>1274</v>
      </c>
      <c r="N53" s="28" t="s">
        <v>1274</v>
      </c>
      <c r="O53" s="28" t="s">
        <v>1274</v>
      </c>
      <c r="P53" s="28" t="s">
        <v>1274</v>
      </c>
      <c r="Q53" s="28" t="s">
        <v>1274</v>
      </c>
      <c r="R53" s="28" t="s">
        <v>1274</v>
      </c>
      <c r="S53" s="28" t="s">
        <v>1274</v>
      </c>
      <c r="T53" s="28" t="s">
        <v>1274</v>
      </c>
      <c r="U53" s="28" t="s">
        <v>1274</v>
      </c>
      <c r="V53" s="28" t="s">
        <v>1274</v>
      </c>
      <c r="W53" s="28" t="s">
        <v>1274</v>
      </c>
      <c r="X53" s="28" t="s">
        <v>1274</v>
      </c>
      <c r="Y53" s="28" t="s">
        <v>1274</v>
      </c>
      <c r="Z53" s="28" t="s">
        <v>1274</v>
      </c>
      <c r="AA53" s="28" t="s">
        <v>1274</v>
      </c>
      <c r="AB53" s="28" t="s">
        <v>1274</v>
      </c>
      <c r="AC53" s="28" t="s">
        <v>1274</v>
      </c>
      <c r="AD53" s="28" t="s">
        <v>1274</v>
      </c>
      <c r="AE53" s="28" t="s">
        <v>1274</v>
      </c>
      <c r="AF53" s="28" t="s">
        <v>1274</v>
      </c>
      <c r="AG53" s="28" t="s">
        <v>1274</v>
      </c>
      <c r="AH53" s="28" t="s">
        <v>1274</v>
      </c>
      <c r="AI53" s="28" t="s">
        <v>1274</v>
      </c>
      <c r="AJ53" s="28" t="s">
        <v>1274</v>
      </c>
    </row>
    <row r="54" spans="1:36">
      <c r="A54" s="29" t="s">
        <v>1049</v>
      </c>
      <c r="B54" s="28" t="s">
        <v>1210</v>
      </c>
      <c r="C54" s="28" t="s">
        <v>1210</v>
      </c>
      <c r="D54" s="28" t="s">
        <v>1210</v>
      </c>
      <c r="E54" s="28" t="s">
        <v>1210</v>
      </c>
      <c r="F54" s="28" t="s">
        <v>1210</v>
      </c>
      <c r="G54" s="28" t="s">
        <v>1272</v>
      </c>
      <c r="H54" s="28" t="s">
        <v>1272</v>
      </c>
      <c r="I54" s="28" t="s">
        <v>1273</v>
      </c>
      <c r="J54" s="28" t="s">
        <v>1273</v>
      </c>
      <c r="K54" s="28" t="s">
        <v>1273</v>
      </c>
      <c r="L54" s="28" t="s">
        <v>1273</v>
      </c>
      <c r="M54" s="28" t="s">
        <v>1273</v>
      </c>
      <c r="N54" s="28" t="s">
        <v>1273</v>
      </c>
      <c r="O54" s="28" t="s">
        <v>1273</v>
      </c>
      <c r="P54" s="28" t="s">
        <v>1273</v>
      </c>
      <c r="Q54" s="28" t="s">
        <v>1273</v>
      </c>
      <c r="R54" s="28" t="s">
        <v>1273</v>
      </c>
      <c r="S54" s="28" t="s">
        <v>1273</v>
      </c>
      <c r="T54" s="28" t="s">
        <v>1273</v>
      </c>
      <c r="U54" s="28" t="s">
        <v>1274</v>
      </c>
      <c r="V54" s="28" t="s">
        <v>1274</v>
      </c>
      <c r="W54" s="28" t="s">
        <v>1274</v>
      </c>
      <c r="X54" s="28" t="s">
        <v>1274</v>
      </c>
      <c r="Y54" s="28" t="s">
        <v>1274</v>
      </c>
      <c r="Z54" s="28" t="s">
        <v>1274</v>
      </c>
      <c r="AA54" s="28" t="s">
        <v>1274</v>
      </c>
      <c r="AB54" s="28" t="s">
        <v>1274</v>
      </c>
      <c r="AC54" s="28" t="s">
        <v>1274</v>
      </c>
      <c r="AD54" s="28" t="s">
        <v>1274</v>
      </c>
      <c r="AE54" s="28" t="s">
        <v>1274</v>
      </c>
      <c r="AF54" s="28" t="s">
        <v>1274</v>
      </c>
      <c r="AG54" s="28" t="s">
        <v>1274</v>
      </c>
      <c r="AH54" s="28" t="s">
        <v>1274</v>
      </c>
      <c r="AI54" s="28" t="s">
        <v>1274</v>
      </c>
      <c r="AJ54" s="28" t="s">
        <v>1274</v>
      </c>
    </row>
    <row r="55" spans="1:36">
      <c r="A55" s="29" t="s">
        <v>1050</v>
      </c>
      <c r="B55" s="28" t="s">
        <v>1274</v>
      </c>
      <c r="C55" s="28" t="s">
        <v>1274</v>
      </c>
      <c r="D55" s="28" t="s">
        <v>1274</v>
      </c>
      <c r="E55" s="28" t="s">
        <v>1274</v>
      </c>
      <c r="F55" s="28" t="s">
        <v>1274</v>
      </c>
      <c r="G55" s="28" t="s">
        <v>1274</v>
      </c>
      <c r="H55" s="28" t="s">
        <v>1274</v>
      </c>
      <c r="I55" s="28" t="s">
        <v>1274</v>
      </c>
      <c r="J55" s="28" t="s">
        <v>1274</v>
      </c>
      <c r="K55" s="28" t="s">
        <v>1274</v>
      </c>
      <c r="L55" s="28" t="s">
        <v>1274</v>
      </c>
      <c r="M55" s="28" t="s">
        <v>1274</v>
      </c>
      <c r="N55" s="28" t="s">
        <v>1274</v>
      </c>
      <c r="O55" s="28" t="s">
        <v>1274</v>
      </c>
      <c r="P55" s="28" t="s">
        <v>1274</v>
      </c>
      <c r="Q55" s="28" t="s">
        <v>1274</v>
      </c>
      <c r="R55" s="28" t="s">
        <v>1274</v>
      </c>
      <c r="S55" s="28" t="s">
        <v>1274</v>
      </c>
      <c r="T55" s="28" t="s">
        <v>1274</v>
      </c>
      <c r="U55" s="28" t="s">
        <v>1274</v>
      </c>
      <c r="V55" s="28" t="s">
        <v>1274</v>
      </c>
      <c r="W55" s="28" t="s">
        <v>1274</v>
      </c>
      <c r="X55" s="28" t="s">
        <v>1274</v>
      </c>
      <c r="Y55" s="28" t="s">
        <v>1274</v>
      </c>
      <c r="Z55" s="28" t="s">
        <v>1274</v>
      </c>
      <c r="AA55" s="28" t="s">
        <v>1274</v>
      </c>
      <c r="AB55" s="28" t="s">
        <v>1274</v>
      </c>
      <c r="AC55" s="28" t="s">
        <v>1274</v>
      </c>
      <c r="AD55" s="28" t="s">
        <v>1274</v>
      </c>
      <c r="AE55" s="28" t="s">
        <v>1274</v>
      </c>
      <c r="AF55" s="28" t="s">
        <v>1274</v>
      </c>
      <c r="AG55" s="28" t="s">
        <v>1274</v>
      </c>
      <c r="AH55" s="28" t="s">
        <v>1274</v>
      </c>
      <c r="AI55" s="28" t="s">
        <v>1274</v>
      </c>
      <c r="AJ55" s="28" t="s">
        <v>1274</v>
      </c>
    </row>
    <row r="56" spans="1:36">
      <c r="A56" s="29" t="s">
        <v>1051</v>
      </c>
      <c r="B56" s="28" t="s">
        <v>1210</v>
      </c>
      <c r="C56" s="28" t="s">
        <v>1210</v>
      </c>
      <c r="D56" s="28" t="s">
        <v>1210</v>
      </c>
      <c r="E56" s="28" t="s">
        <v>1272</v>
      </c>
      <c r="F56" s="28" t="s">
        <v>1272</v>
      </c>
      <c r="G56" s="28" t="s">
        <v>1272</v>
      </c>
      <c r="H56" s="28" t="s">
        <v>1272</v>
      </c>
      <c r="I56" s="28" t="s">
        <v>1272</v>
      </c>
      <c r="J56" s="28" t="s">
        <v>1272</v>
      </c>
      <c r="K56" s="28" t="s">
        <v>1272</v>
      </c>
      <c r="L56" s="28" t="s">
        <v>1272</v>
      </c>
      <c r="M56" s="28" t="s">
        <v>1272</v>
      </c>
      <c r="N56" s="28" t="s">
        <v>1272</v>
      </c>
      <c r="O56" s="28" t="s">
        <v>1272</v>
      </c>
      <c r="P56" s="28" t="s">
        <v>1272</v>
      </c>
      <c r="Q56" s="28" t="s">
        <v>1272</v>
      </c>
      <c r="R56" s="28" t="s">
        <v>1272</v>
      </c>
      <c r="S56" s="28" t="s">
        <v>1272</v>
      </c>
      <c r="T56" s="28" t="s">
        <v>1272</v>
      </c>
      <c r="U56" s="28" t="s">
        <v>1272</v>
      </c>
      <c r="V56" s="28" t="s">
        <v>1272</v>
      </c>
      <c r="W56" s="28" t="s">
        <v>1272</v>
      </c>
      <c r="X56" s="28" t="s">
        <v>1272</v>
      </c>
      <c r="Y56" s="28" t="s">
        <v>1272</v>
      </c>
      <c r="Z56" s="28" t="s">
        <v>1272</v>
      </c>
      <c r="AA56" s="28" t="s">
        <v>1272</v>
      </c>
      <c r="AB56" s="28" t="s">
        <v>1272</v>
      </c>
      <c r="AC56" s="28" t="s">
        <v>1272</v>
      </c>
      <c r="AD56" s="28" t="s">
        <v>1272</v>
      </c>
      <c r="AE56" s="28" t="s">
        <v>1272</v>
      </c>
      <c r="AF56" s="28" t="s">
        <v>1272</v>
      </c>
      <c r="AG56" s="28" t="s">
        <v>1272</v>
      </c>
      <c r="AH56" s="28" t="s">
        <v>1272</v>
      </c>
      <c r="AI56" s="28" t="s">
        <v>1272</v>
      </c>
      <c r="AJ56" s="28" t="s">
        <v>1272</v>
      </c>
    </row>
    <row r="57" spans="1:36">
      <c r="A57" s="29" t="s">
        <v>1053</v>
      </c>
      <c r="B57" s="28" t="s">
        <v>1272</v>
      </c>
      <c r="C57" s="28" t="s">
        <v>1272</v>
      </c>
      <c r="D57" s="28" t="s">
        <v>1272</v>
      </c>
      <c r="E57" s="28" t="s">
        <v>1272</v>
      </c>
      <c r="F57" s="28" t="s">
        <v>1272</v>
      </c>
      <c r="G57" s="28" t="s">
        <v>1272</v>
      </c>
      <c r="H57" s="28" t="s">
        <v>1272</v>
      </c>
      <c r="I57" s="28" t="s">
        <v>1272</v>
      </c>
      <c r="J57" s="28" t="s">
        <v>1272</v>
      </c>
      <c r="K57" s="28" t="s">
        <v>1272</v>
      </c>
      <c r="L57" s="28" t="s">
        <v>1272</v>
      </c>
      <c r="M57" s="28" t="s">
        <v>1272</v>
      </c>
      <c r="N57" s="28" t="s">
        <v>1273</v>
      </c>
      <c r="O57" s="28" t="s">
        <v>1273</v>
      </c>
      <c r="P57" s="28" t="s">
        <v>1273</v>
      </c>
      <c r="Q57" s="28" t="s">
        <v>1273</v>
      </c>
      <c r="R57" s="28" t="s">
        <v>1273</v>
      </c>
      <c r="S57" s="28" t="s">
        <v>1273</v>
      </c>
      <c r="T57" s="28" t="s">
        <v>1273</v>
      </c>
      <c r="U57" s="28" t="s">
        <v>1273</v>
      </c>
      <c r="V57" s="28" t="s">
        <v>1273</v>
      </c>
      <c r="W57" s="28" t="s">
        <v>1273</v>
      </c>
      <c r="X57" s="28" t="s">
        <v>1273</v>
      </c>
      <c r="Y57" s="28" t="s">
        <v>1273</v>
      </c>
      <c r="Z57" s="28" t="s">
        <v>1273</v>
      </c>
      <c r="AA57" s="28" t="s">
        <v>1273</v>
      </c>
      <c r="AB57" s="28" t="s">
        <v>1273</v>
      </c>
      <c r="AC57" s="28" t="s">
        <v>1273</v>
      </c>
      <c r="AD57" s="28" t="s">
        <v>1273</v>
      </c>
      <c r="AE57" s="28" t="s">
        <v>1273</v>
      </c>
      <c r="AF57" s="28" t="s">
        <v>1273</v>
      </c>
      <c r="AG57" s="28" t="s">
        <v>1273</v>
      </c>
      <c r="AH57" s="28" t="s">
        <v>1273</v>
      </c>
      <c r="AI57" s="28" t="s">
        <v>1273</v>
      </c>
      <c r="AJ57" s="28" t="s">
        <v>1273</v>
      </c>
    </row>
    <row r="58" spans="1:36">
      <c r="A58" s="29" t="s">
        <v>1032</v>
      </c>
      <c r="B58" s="28" t="s">
        <v>1272</v>
      </c>
      <c r="C58" s="28" t="s">
        <v>1272</v>
      </c>
      <c r="D58" s="28" t="s">
        <v>1272</v>
      </c>
      <c r="E58" s="28" t="s">
        <v>1272</v>
      </c>
      <c r="F58" s="28" t="s">
        <v>1272</v>
      </c>
      <c r="G58" s="28" t="s">
        <v>1272</v>
      </c>
      <c r="H58" s="28" t="s">
        <v>1272</v>
      </c>
      <c r="I58" s="28" t="s">
        <v>1272</v>
      </c>
      <c r="J58" s="28" t="s">
        <v>1272</v>
      </c>
      <c r="K58" s="28" t="s">
        <v>1272</v>
      </c>
      <c r="L58" s="28" t="s">
        <v>1272</v>
      </c>
      <c r="M58" s="28" t="s">
        <v>1272</v>
      </c>
      <c r="N58" s="28" t="s">
        <v>1272</v>
      </c>
      <c r="O58" s="28" t="s">
        <v>1272</v>
      </c>
      <c r="P58" s="28" t="s">
        <v>1272</v>
      </c>
      <c r="Q58" s="28" t="s">
        <v>1272</v>
      </c>
      <c r="R58" s="28" t="s">
        <v>1272</v>
      </c>
      <c r="S58" s="28" t="s">
        <v>1272</v>
      </c>
      <c r="T58" s="28" t="s">
        <v>1272</v>
      </c>
      <c r="U58" s="28" t="s">
        <v>1272</v>
      </c>
      <c r="V58" s="28" t="s">
        <v>1272</v>
      </c>
      <c r="W58" s="28" t="s">
        <v>1273</v>
      </c>
      <c r="X58" s="28" t="s">
        <v>1273</v>
      </c>
      <c r="Y58" s="28" t="s">
        <v>1273</v>
      </c>
      <c r="Z58" s="28" t="s">
        <v>1273</v>
      </c>
      <c r="AA58" s="28" t="s">
        <v>1273</v>
      </c>
      <c r="AB58" s="28" t="s">
        <v>1273</v>
      </c>
      <c r="AC58" s="28" t="s">
        <v>1273</v>
      </c>
      <c r="AD58" s="28" t="s">
        <v>1273</v>
      </c>
      <c r="AE58" s="28" t="s">
        <v>1273</v>
      </c>
      <c r="AF58" s="28" t="s">
        <v>1273</v>
      </c>
      <c r="AG58" s="28" t="s">
        <v>1273</v>
      </c>
      <c r="AH58" s="28" t="s">
        <v>1273</v>
      </c>
      <c r="AI58" s="28" t="s">
        <v>1273</v>
      </c>
      <c r="AJ58" s="28" t="s">
        <v>1273</v>
      </c>
    </row>
    <row r="59" spans="1:36">
      <c r="A59" s="29" t="s">
        <v>559</v>
      </c>
      <c r="B59" s="28" t="s">
        <v>1272</v>
      </c>
      <c r="C59" s="28" t="s">
        <v>1272</v>
      </c>
      <c r="D59" s="28" t="s">
        <v>1272</v>
      </c>
      <c r="E59" s="28" t="s">
        <v>1272</v>
      </c>
      <c r="F59" s="28" t="s">
        <v>1272</v>
      </c>
      <c r="G59" s="28" t="s">
        <v>1272</v>
      </c>
      <c r="H59" s="28" t="s">
        <v>1272</v>
      </c>
      <c r="I59" s="28" t="s">
        <v>1272</v>
      </c>
      <c r="J59" s="28" t="s">
        <v>1272</v>
      </c>
      <c r="K59" s="28" t="s">
        <v>1272</v>
      </c>
      <c r="L59" s="28" t="s">
        <v>1272</v>
      </c>
      <c r="M59" s="28" t="s">
        <v>1272</v>
      </c>
      <c r="N59" s="28" t="s">
        <v>1272</v>
      </c>
      <c r="O59" s="28" t="s">
        <v>1272</v>
      </c>
      <c r="P59" s="28" t="s">
        <v>1272</v>
      </c>
      <c r="Q59" s="28" t="s">
        <v>1272</v>
      </c>
      <c r="R59" s="28" t="s">
        <v>1272</v>
      </c>
      <c r="S59" s="28" t="s">
        <v>1272</v>
      </c>
      <c r="T59" s="28" t="s">
        <v>1272</v>
      </c>
      <c r="U59" s="28" t="s">
        <v>1272</v>
      </c>
      <c r="V59" s="28" t="s">
        <v>1272</v>
      </c>
      <c r="W59" s="28" t="s">
        <v>1272</v>
      </c>
      <c r="X59" s="28" t="s">
        <v>1272</v>
      </c>
      <c r="Y59" s="28" t="s">
        <v>1273</v>
      </c>
      <c r="Z59" s="28" t="s">
        <v>1273</v>
      </c>
      <c r="AA59" s="28" t="s">
        <v>1273</v>
      </c>
      <c r="AB59" s="28" t="s">
        <v>1273</v>
      </c>
      <c r="AC59" s="28" t="s">
        <v>1273</v>
      </c>
      <c r="AD59" s="28" t="s">
        <v>1273</v>
      </c>
      <c r="AE59" s="28" t="s">
        <v>1273</v>
      </c>
      <c r="AF59" s="28" t="s">
        <v>1273</v>
      </c>
      <c r="AG59" s="28" t="s">
        <v>1273</v>
      </c>
      <c r="AH59" s="28" t="s">
        <v>1273</v>
      </c>
      <c r="AI59" s="28" t="s">
        <v>1273</v>
      </c>
      <c r="AJ59" s="28" t="s">
        <v>1273</v>
      </c>
    </row>
    <row r="60" spans="1:36">
      <c r="A60" s="29" t="s">
        <v>398</v>
      </c>
      <c r="B60" s="28" t="s">
        <v>1272</v>
      </c>
      <c r="C60" s="28" t="s">
        <v>1272</v>
      </c>
      <c r="D60" s="28" t="s">
        <v>1272</v>
      </c>
      <c r="E60" s="28" t="s">
        <v>1271</v>
      </c>
      <c r="F60" s="28" t="s">
        <v>1271</v>
      </c>
      <c r="G60" s="28" t="s">
        <v>1271</v>
      </c>
      <c r="H60" s="28" t="s">
        <v>1271</v>
      </c>
      <c r="I60" s="28" t="s">
        <v>1271</v>
      </c>
      <c r="J60" s="28" t="s">
        <v>1272</v>
      </c>
      <c r="K60" s="28" t="s">
        <v>1272</v>
      </c>
      <c r="L60" s="28" t="s">
        <v>1272</v>
      </c>
      <c r="M60" s="28" t="s">
        <v>1272</v>
      </c>
      <c r="N60" s="28" t="s">
        <v>1272</v>
      </c>
      <c r="O60" s="28" t="s">
        <v>1272</v>
      </c>
      <c r="P60" s="28" t="s">
        <v>1272</v>
      </c>
      <c r="Q60" s="28" t="s">
        <v>1272</v>
      </c>
      <c r="R60" s="28" t="s">
        <v>1272</v>
      </c>
      <c r="S60" s="28" t="s">
        <v>1272</v>
      </c>
      <c r="T60" s="28" t="s">
        <v>1272</v>
      </c>
      <c r="U60" s="28" t="s">
        <v>1272</v>
      </c>
      <c r="V60" s="28" t="s">
        <v>1272</v>
      </c>
      <c r="W60" s="28" t="s">
        <v>1272</v>
      </c>
      <c r="X60" s="28" t="s">
        <v>1272</v>
      </c>
      <c r="Y60" s="28" t="s">
        <v>1272</v>
      </c>
      <c r="Z60" s="28" t="s">
        <v>1272</v>
      </c>
      <c r="AA60" s="28" t="s">
        <v>1272</v>
      </c>
      <c r="AB60" s="28" t="s">
        <v>1272</v>
      </c>
      <c r="AC60" s="28" t="s">
        <v>1272</v>
      </c>
      <c r="AD60" s="28" t="s">
        <v>1272</v>
      </c>
      <c r="AE60" s="28" t="s">
        <v>1272</v>
      </c>
      <c r="AF60" s="28" t="s">
        <v>1272</v>
      </c>
      <c r="AG60" s="28" t="s">
        <v>1272</v>
      </c>
      <c r="AH60" s="28" t="s">
        <v>1272</v>
      </c>
      <c r="AI60" s="28" t="s">
        <v>1272</v>
      </c>
      <c r="AJ60" s="28" t="s">
        <v>1272</v>
      </c>
    </row>
    <row r="61" spans="1:36">
      <c r="A61" s="29" t="s">
        <v>1035</v>
      </c>
      <c r="B61" s="28" t="s">
        <v>1272</v>
      </c>
      <c r="C61" s="28" t="s">
        <v>1272</v>
      </c>
      <c r="D61" s="28" t="s">
        <v>1272</v>
      </c>
      <c r="E61" s="28" t="s">
        <v>1272</v>
      </c>
      <c r="F61" s="28" t="s">
        <v>1272</v>
      </c>
      <c r="G61" s="28" t="s">
        <v>1272</v>
      </c>
      <c r="H61" s="28" t="s">
        <v>1272</v>
      </c>
      <c r="I61" s="28" t="s">
        <v>1272</v>
      </c>
      <c r="J61" s="28" t="s">
        <v>1272</v>
      </c>
      <c r="K61" s="28" t="s">
        <v>1272</v>
      </c>
      <c r="L61" s="28" t="s">
        <v>1272</v>
      </c>
      <c r="M61" s="28" t="s">
        <v>1272</v>
      </c>
      <c r="N61" s="28" t="s">
        <v>1272</v>
      </c>
      <c r="O61" s="28" t="s">
        <v>1272</v>
      </c>
      <c r="P61" s="28" t="s">
        <v>1272</v>
      </c>
      <c r="Q61" s="28" t="s">
        <v>1272</v>
      </c>
      <c r="R61" s="28" t="s">
        <v>1272</v>
      </c>
      <c r="S61" s="28" t="s">
        <v>1272</v>
      </c>
      <c r="T61" s="28" t="s">
        <v>1272</v>
      </c>
      <c r="U61" s="28" t="s">
        <v>1272</v>
      </c>
      <c r="V61" s="28" t="s">
        <v>1272</v>
      </c>
      <c r="W61" s="28" t="s">
        <v>1272</v>
      </c>
      <c r="X61" s="28" t="s">
        <v>1272</v>
      </c>
      <c r="Y61" s="28" t="s">
        <v>1272</v>
      </c>
      <c r="Z61" s="28" t="s">
        <v>1272</v>
      </c>
      <c r="AA61" s="28" t="s">
        <v>1272</v>
      </c>
      <c r="AB61" s="28" t="s">
        <v>1272</v>
      </c>
      <c r="AC61" s="28" t="s">
        <v>1272</v>
      </c>
      <c r="AD61" s="28" t="s">
        <v>1272</v>
      </c>
      <c r="AE61" s="28" t="s">
        <v>1272</v>
      </c>
      <c r="AF61" s="28" t="s">
        <v>1272</v>
      </c>
      <c r="AG61" s="28" t="s">
        <v>1272</v>
      </c>
      <c r="AH61" s="28" t="s">
        <v>1272</v>
      </c>
      <c r="AI61" s="28" t="s">
        <v>1272</v>
      </c>
      <c r="AJ61" s="28" t="s">
        <v>1272</v>
      </c>
    </row>
    <row r="62" spans="1:36">
      <c r="A62" s="29" t="s">
        <v>1058</v>
      </c>
      <c r="B62" s="28" t="s">
        <v>1271</v>
      </c>
      <c r="C62" s="28" t="s">
        <v>1271</v>
      </c>
      <c r="D62" s="28" t="s">
        <v>1271</v>
      </c>
      <c r="E62" s="28" t="s">
        <v>1271</v>
      </c>
      <c r="F62" s="28" t="s">
        <v>1271</v>
      </c>
      <c r="G62" s="28" t="s">
        <v>1271</v>
      </c>
      <c r="H62" s="28" t="s">
        <v>1271</v>
      </c>
      <c r="I62" s="28" t="s">
        <v>1271</v>
      </c>
      <c r="J62" s="28" t="s">
        <v>1271</v>
      </c>
      <c r="K62" s="28" t="s">
        <v>1271</v>
      </c>
      <c r="L62" s="28" t="s">
        <v>1272</v>
      </c>
      <c r="M62" s="28" t="s">
        <v>1272</v>
      </c>
      <c r="N62" s="28" t="s">
        <v>1272</v>
      </c>
      <c r="O62" s="28" t="s">
        <v>1272</v>
      </c>
      <c r="P62" s="28" t="s">
        <v>1271</v>
      </c>
      <c r="Q62" s="28" t="s">
        <v>1271</v>
      </c>
      <c r="R62" s="28" t="s">
        <v>1271</v>
      </c>
      <c r="S62" s="28" t="s">
        <v>1273</v>
      </c>
      <c r="T62" s="28" t="s">
        <v>1273</v>
      </c>
      <c r="U62" s="28" t="s">
        <v>1273</v>
      </c>
      <c r="V62" s="28" t="s">
        <v>1274</v>
      </c>
      <c r="W62" s="28" t="s">
        <v>1274</v>
      </c>
      <c r="X62" s="28" t="s">
        <v>1274</v>
      </c>
      <c r="Y62" s="28" t="s">
        <v>1274</v>
      </c>
      <c r="Z62" s="28" t="s">
        <v>1274</v>
      </c>
      <c r="AA62" s="28" t="s">
        <v>1274</v>
      </c>
      <c r="AB62" s="28" t="s">
        <v>1274</v>
      </c>
      <c r="AC62" s="28" t="s">
        <v>1274</v>
      </c>
      <c r="AD62" s="28" t="s">
        <v>1273</v>
      </c>
      <c r="AE62" s="28" t="s">
        <v>1273</v>
      </c>
      <c r="AF62" s="28" t="s">
        <v>1273</v>
      </c>
      <c r="AG62" s="28" t="s">
        <v>1273</v>
      </c>
      <c r="AH62" s="28" t="s">
        <v>1273</v>
      </c>
      <c r="AI62" s="28" t="s">
        <v>1273</v>
      </c>
      <c r="AJ62" s="28" t="s">
        <v>1273</v>
      </c>
    </row>
    <row r="63" spans="1:36">
      <c r="A63" s="29" t="s">
        <v>1036</v>
      </c>
      <c r="B63" s="28" t="s">
        <v>1210</v>
      </c>
      <c r="C63" s="28" t="s">
        <v>1210</v>
      </c>
      <c r="D63" s="28" t="s">
        <v>1210</v>
      </c>
      <c r="E63" s="28" t="s">
        <v>1210</v>
      </c>
      <c r="F63" s="28" t="s">
        <v>1210</v>
      </c>
      <c r="G63" s="28" t="s">
        <v>1271</v>
      </c>
      <c r="H63" s="28" t="s">
        <v>1271</v>
      </c>
      <c r="I63" s="28" t="s">
        <v>1271</v>
      </c>
      <c r="J63" s="28" t="s">
        <v>1271</v>
      </c>
      <c r="K63" s="28" t="s">
        <v>1271</v>
      </c>
      <c r="L63" s="28" t="s">
        <v>1271</v>
      </c>
      <c r="M63" s="28" t="s">
        <v>1271</v>
      </c>
      <c r="N63" s="28" t="s">
        <v>1271</v>
      </c>
      <c r="O63" s="28" t="s">
        <v>1271</v>
      </c>
      <c r="P63" s="28" t="s">
        <v>1271</v>
      </c>
      <c r="Q63" s="28" t="s">
        <v>1271</v>
      </c>
      <c r="R63" s="28" t="s">
        <v>1271</v>
      </c>
      <c r="S63" s="28" t="s">
        <v>1271</v>
      </c>
      <c r="T63" s="28" t="s">
        <v>1271</v>
      </c>
      <c r="U63" s="28" t="s">
        <v>1271</v>
      </c>
      <c r="V63" s="28" t="s">
        <v>1271</v>
      </c>
      <c r="W63" s="28" t="s">
        <v>1271</v>
      </c>
      <c r="X63" s="28" t="s">
        <v>1271</v>
      </c>
      <c r="Y63" s="28" t="s">
        <v>1271</v>
      </c>
      <c r="Z63" s="28" t="s">
        <v>1271</v>
      </c>
      <c r="AA63" s="28" t="s">
        <v>1271</v>
      </c>
      <c r="AB63" s="28" t="s">
        <v>1271</v>
      </c>
      <c r="AC63" s="28" t="s">
        <v>1271</v>
      </c>
      <c r="AD63" s="28" t="s">
        <v>1271</v>
      </c>
      <c r="AE63" s="28" t="s">
        <v>1271</v>
      </c>
      <c r="AF63" s="28" t="s">
        <v>1271</v>
      </c>
      <c r="AG63" s="28" t="s">
        <v>1271</v>
      </c>
      <c r="AH63" s="28" t="s">
        <v>1271</v>
      </c>
      <c r="AI63" s="28" t="s">
        <v>1271</v>
      </c>
      <c r="AJ63" s="28" t="s">
        <v>1271</v>
      </c>
    </row>
    <row r="64" spans="1:36">
      <c r="A64" s="29" t="s">
        <v>1061</v>
      </c>
      <c r="B64" s="28" t="s">
        <v>1210</v>
      </c>
      <c r="C64" s="28" t="s">
        <v>1210</v>
      </c>
      <c r="D64" s="28" t="s">
        <v>1210</v>
      </c>
      <c r="E64" s="28" t="s">
        <v>1210</v>
      </c>
      <c r="F64" s="28" t="s">
        <v>1273</v>
      </c>
      <c r="G64" s="28" t="s">
        <v>1273</v>
      </c>
      <c r="H64" s="28" t="s">
        <v>1273</v>
      </c>
      <c r="I64" s="28" t="s">
        <v>1272</v>
      </c>
      <c r="J64" s="28" t="s">
        <v>1272</v>
      </c>
      <c r="K64" s="28" t="s">
        <v>1272</v>
      </c>
      <c r="L64" s="28" t="s">
        <v>1273</v>
      </c>
      <c r="M64" s="28" t="s">
        <v>1273</v>
      </c>
      <c r="N64" s="28" t="s">
        <v>1273</v>
      </c>
      <c r="O64" s="28" t="s">
        <v>1273</v>
      </c>
      <c r="P64" s="28" t="s">
        <v>1273</v>
      </c>
      <c r="Q64" s="28" t="s">
        <v>1273</v>
      </c>
      <c r="R64" s="28" t="s">
        <v>1273</v>
      </c>
      <c r="S64" s="28" t="s">
        <v>1273</v>
      </c>
      <c r="T64" s="28" t="s">
        <v>1273</v>
      </c>
      <c r="U64" s="28" t="s">
        <v>1274</v>
      </c>
      <c r="V64" s="28" t="s">
        <v>1274</v>
      </c>
      <c r="W64" s="28" t="s">
        <v>1274</v>
      </c>
      <c r="X64" s="28" t="s">
        <v>1274</v>
      </c>
      <c r="Y64" s="28" t="s">
        <v>1274</v>
      </c>
      <c r="Z64" s="28" t="s">
        <v>1274</v>
      </c>
      <c r="AA64" s="28" t="s">
        <v>1274</v>
      </c>
      <c r="AB64" s="28" t="s">
        <v>1274</v>
      </c>
      <c r="AC64" s="28" t="s">
        <v>1274</v>
      </c>
      <c r="AD64" s="28" t="s">
        <v>1274</v>
      </c>
      <c r="AE64" s="28" t="s">
        <v>1274</v>
      </c>
      <c r="AF64" s="28" t="s">
        <v>1274</v>
      </c>
      <c r="AG64" s="28" t="s">
        <v>1274</v>
      </c>
      <c r="AH64" s="28" t="s">
        <v>1274</v>
      </c>
      <c r="AI64" s="28" t="s">
        <v>1274</v>
      </c>
      <c r="AJ64" s="28" t="s">
        <v>1274</v>
      </c>
    </row>
    <row r="65" spans="1:36">
      <c r="A65" s="29" t="s">
        <v>1201</v>
      </c>
      <c r="B65" s="28" t="s">
        <v>1272</v>
      </c>
      <c r="C65" s="28" t="s">
        <v>1272</v>
      </c>
      <c r="D65" s="28" t="s">
        <v>1272</v>
      </c>
      <c r="E65" s="28" t="s">
        <v>1272</v>
      </c>
      <c r="F65" s="28" t="s">
        <v>1272</v>
      </c>
      <c r="G65" s="28" t="s">
        <v>1272</v>
      </c>
      <c r="H65" s="28" t="s">
        <v>1272</v>
      </c>
      <c r="I65" s="28" t="s">
        <v>1272</v>
      </c>
      <c r="J65" s="28" t="s">
        <v>1272</v>
      </c>
      <c r="K65" s="28" t="s">
        <v>1272</v>
      </c>
      <c r="L65" s="28" t="s">
        <v>1272</v>
      </c>
      <c r="M65" s="28" t="s">
        <v>1272</v>
      </c>
      <c r="N65" s="28" t="s">
        <v>1272</v>
      </c>
      <c r="O65" s="28" t="s">
        <v>1272</v>
      </c>
      <c r="P65" s="28" t="s">
        <v>1272</v>
      </c>
      <c r="Q65" s="28" t="s">
        <v>1272</v>
      </c>
      <c r="R65" s="28" t="s">
        <v>1272</v>
      </c>
      <c r="S65" s="28" t="s">
        <v>1272</v>
      </c>
      <c r="T65" s="28" t="s">
        <v>1272</v>
      </c>
      <c r="U65" s="28" t="s">
        <v>1272</v>
      </c>
      <c r="V65" s="28" t="s">
        <v>1272</v>
      </c>
      <c r="W65" s="28" t="s">
        <v>1272</v>
      </c>
      <c r="X65" s="28" t="s">
        <v>1272</v>
      </c>
      <c r="Y65" s="28" t="s">
        <v>1272</v>
      </c>
      <c r="Z65" s="28" t="s">
        <v>1272</v>
      </c>
      <c r="AA65" s="28" t="s">
        <v>1272</v>
      </c>
      <c r="AB65" s="28" t="s">
        <v>1272</v>
      </c>
      <c r="AC65" s="28" t="s">
        <v>1272</v>
      </c>
      <c r="AD65" s="28" t="s">
        <v>1272</v>
      </c>
      <c r="AE65" s="28" t="s">
        <v>1272</v>
      </c>
      <c r="AF65" s="28" t="s">
        <v>1272</v>
      </c>
      <c r="AG65" s="28" t="s">
        <v>1272</v>
      </c>
      <c r="AH65" s="28" t="s">
        <v>1272</v>
      </c>
      <c r="AI65" s="28" t="s">
        <v>1272</v>
      </c>
      <c r="AJ65" s="28" t="s">
        <v>1272</v>
      </c>
    </row>
    <row r="66" spans="1:36">
      <c r="A66" s="29" t="s">
        <v>428</v>
      </c>
      <c r="B66" s="28" t="s">
        <v>1271</v>
      </c>
      <c r="C66" s="28" t="s">
        <v>1271</v>
      </c>
      <c r="D66" s="28" t="s">
        <v>1271</v>
      </c>
      <c r="E66" s="28" t="s">
        <v>1271</v>
      </c>
      <c r="F66" s="28" t="s">
        <v>1271</v>
      </c>
      <c r="G66" s="28" t="s">
        <v>1271</v>
      </c>
      <c r="H66" s="28" t="s">
        <v>1271</v>
      </c>
      <c r="I66" s="28" t="s">
        <v>1271</v>
      </c>
      <c r="J66" s="28" t="s">
        <v>1271</v>
      </c>
      <c r="K66" s="28" t="s">
        <v>1271</v>
      </c>
      <c r="L66" s="28" t="s">
        <v>1271</v>
      </c>
      <c r="M66" s="28" t="s">
        <v>1271</v>
      </c>
      <c r="N66" s="28" t="s">
        <v>1271</v>
      </c>
      <c r="O66" s="28" t="s">
        <v>1271</v>
      </c>
      <c r="P66" s="28" t="s">
        <v>1271</v>
      </c>
      <c r="Q66" s="28" t="s">
        <v>1271</v>
      </c>
      <c r="R66" s="28" t="s">
        <v>1271</v>
      </c>
      <c r="S66" s="28" t="s">
        <v>1271</v>
      </c>
      <c r="T66" s="28" t="s">
        <v>1271</v>
      </c>
      <c r="U66" s="28" t="s">
        <v>1271</v>
      </c>
      <c r="V66" s="28" t="s">
        <v>1271</v>
      </c>
      <c r="W66" s="28" t="s">
        <v>1271</v>
      </c>
      <c r="X66" s="28" t="s">
        <v>1271</v>
      </c>
      <c r="Y66" s="28" t="s">
        <v>1271</v>
      </c>
      <c r="Z66" s="28" t="s">
        <v>1271</v>
      </c>
      <c r="AA66" s="28" t="s">
        <v>1271</v>
      </c>
      <c r="AB66" s="28" t="s">
        <v>1271</v>
      </c>
      <c r="AC66" s="28" t="s">
        <v>1271</v>
      </c>
      <c r="AD66" s="28" t="s">
        <v>1271</v>
      </c>
      <c r="AE66" s="28" t="s">
        <v>1271</v>
      </c>
      <c r="AF66" s="28" t="s">
        <v>1271</v>
      </c>
      <c r="AG66" s="28" t="s">
        <v>1271</v>
      </c>
      <c r="AH66" s="28" t="s">
        <v>1271</v>
      </c>
      <c r="AI66" s="28" t="s">
        <v>1271</v>
      </c>
      <c r="AJ66" s="28" t="s">
        <v>1271</v>
      </c>
    </row>
    <row r="67" spans="1:36">
      <c r="A67" s="29" t="s">
        <v>1277</v>
      </c>
      <c r="B67" s="28" t="s">
        <v>1274</v>
      </c>
      <c r="C67" s="28" t="s">
        <v>1274</v>
      </c>
      <c r="D67" s="28" t="s">
        <v>1274</v>
      </c>
      <c r="E67" s="28" t="s">
        <v>1274</v>
      </c>
      <c r="F67" s="28" t="s">
        <v>1274</v>
      </c>
      <c r="G67" s="28" t="s">
        <v>1274</v>
      </c>
      <c r="H67" s="28" t="s">
        <v>1274</v>
      </c>
      <c r="I67" s="28" t="s">
        <v>1274</v>
      </c>
      <c r="J67" s="28" t="s">
        <v>1274</v>
      </c>
      <c r="K67" s="28" t="s">
        <v>1274</v>
      </c>
      <c r="L67" s="28" t="s">
        <v>1274</v>
      </c>
      <c r="M67" s="28" t="s">
        <v>1274</v>
      </c>
      <c r="N67" s="28" t="s">
        <v>1274</v>
      </c>
      <c r="O67" s="28" t="s">
        <v>1274</v>
      </c>
      <c r="P67" s="28" t="s">
        <v>1274</v>
      </c>
      <c r="Q67" s="28" t="s">
        <v>1274</v>
      </c>
      <c r="R67" s="28" t="s">
        <v>1274</v>
      </c>
      <c r="S67" s="28" t="s">
        <v>1274</v>
      </c>
      <c r="T67" s="28" t="s">
        <v>1274</v>
      </c>
      <c r="U67" s="28" t="s">
        <v>1274</v>
      </c>
      <c r="V67" s="28" t="s">
        <v>1274</v>
      </c>
      <c r="W67" s="28" t="s">
        <v>1274</v>
      </c>
      <c r="X67" s="28" t="s">
        <v>1274</v>
      </c>
      <c r="Y67" s="28" t="s">
        <v>1274</v>
      </c>
      <c r="Z67" s="28" t="s">
        <v>1274</v>
      </c>
      <c r="AA67" s="28" t="s">
        <v>1274</v>
      </c>
      <c r="AB67" s="28" t="s">
        <v>1274</v>
      </c>
      <c r="AC67" s="28" t="s">
        <v>1274</v>
      </c>
      <c r="AD67" s="28" t="s">
        <v>1274</v>
      </c>
      <c r="AE67" s="28" t="s">
        <v>1274</v>
      </c>
      <c r="AF67" s="28" t="s">
        <v>1274</v>
      </c>
      <c r="AG67" s="28" t="s">
        <v>1274</v>
      </c>
      <c r="AH67" s="28" t="s">
        <v>1274</v>
      </c>
      <c r="AI67" s="28" t="s">
        <v>1274</v>
      </c>
      <c r="AJ67" s="28" t="s">
        <v>1274</v>
      </c>
    </row>
    <row r="68" spans="1:36">
      <c r="A68" s="29" t="s">
        <v>1064</v>
      </c>
      <c r="B68" s="28" t="s">
        <v>1272</v>
      </c>
      <c r="C68" s="28" t="s">
        <v>1272</v>
      </c>
      <c r="D68" s="28" t="s">
        <v>1272</v>
      </c>
      <c r="E68" s="28" t="s">
        <v>1272</v>
      </c>
      <c r="F68" s="28" t="s">
        <v>1272</v>
      </c>
      <c r="G68" s="28" t="s">
        <v>1272</v>
      </c>
      <c r="H68" s="28" t="s">
        <v>1272</v>
      </c>
      <c r="I68" s="28" t="s">
        <v>1272</v>
      </c>
      <c r="J68" s="28" t="s">
        <v>1272</v>
      </c>
      <c r="K68" s="28" t="s">
        <v>1272</v>
      </c>
      <c r="L68" s="28" t="s">
        <v>1272</v>
      </c>
      <c r="M68" s="28" t="s">
        <v>1272</v>
      </c>
      <c r="N68" s="28" t="s">
        <v>1272</v>
      </c>
      <c r="O68" s="28" t="s">
        <v>1272</v>
      </c>
      <c r="P68" s="28" t="s">
        <v>1272</v>
      </c>
      <c r="Q68" s="28" t="s">
        <v>1272</v>
      </c>
      <c r="R68" s="28" t="s">
        <v>1272</v>
      </c>
      <c r="S68" s="28" t="s">
        <v>1272</v>
      </c>
      <c r="T68" s="28" t="s">
        <v>1272</v>
      </c>
      <c r="U68" s="28" t="s">
        <v>1272</v>
      </c>
      <c r="V68" s="28" t="s">
        <v>1273</v>
      </c>
      <c r="W68" s="28" t="s">
        <v>1273</v>
      </c>
      <c r="X68" s="28" t="s">
        <v>1273</v>
      </c>
      <c r="Y68" s="28" t="s">
        <v>1272</v>
      </c>
      <c r="Z68" s="28" t="s">
        <v>1272</v>
      </c>
      <c r="AA68" s="28" t="s">
        <v>1273</v>
      </c>
      <c r="AB68" s="28" t="s">
        <v>1273</v>
      </c>
      <c r="AC68" s="28" t="s">
        <v>1273</v>
      </c>
      <c r="AD68" s="28" t="s">
        <v>1273</v>
      </c>
      <c r="AE68" s="28" t="s">
        <v>1273</v>
      </c>
      <c r="AF68" s="28" t="s">
        <v>1273</v>
      </c>
      <c r="AG68" s="28" t="s">
        <v>1273</v>
      </c>
      <c r="AH68" s="28" t="s">
        <v>1273</v>
      </c>
      <c r="AI68" s="28" t="s">
        <v>1273</v>
      </c>
      <c r="AJ68" s="28" t="s">
        <v>1273</v>
      </c>
    </row>
    <row r="69" spans="1:36">
      <c r="A69" s="29" t="s">
        <v>1065</v>
      </c>
      <c r="B69" s="28" t="s">
        <v>1274</v>
      </c>
      <c r="C69" s="28" t="s">
        <v>1274</v>
      </c>
      <c r="D69" s="28" t="s">
        <v>1274</v>
      </c>
      <c r="E69" s="28" t="s">
        <v>1274</v>
      </c>
      <c r="F69" s="28" t="s">
        <v>1274</v>
      </c>
      <c r="G69" s="28" t="s">
        <v>1274</v>
      </c>
      <c r="H69" s="28" t="s">
        <v>1274</v>
      </c>
      <c r="I69" s="28" t="s">
        <v>1274</v>
      </c>
      <c r="J69" s="28" t="s">
        <v>1274</v>
      </c>
      <c r="K69" s="28" t="s">
        <v>1274</v>
      </c>
      <c r="L69" s="28" t="s">
        <v>1274</v>
      </c>
      <c r="M69" s="28" t="s">
        <v>1274</v>
      </c>
      <c r="N69" s="28" t="s">
        <v>1274</v>
      </c>
      <c r="O69" s="28" t="s">
        <v>1274</v>
      </c>
      <c r="P69" s="28" t="s">
        <v>1274</v>
      </c>
      <c r="Q69" s="28" t="s">
        <v>1274</v>
      </c>
      <c r="R69" s="28" t="s">
        <v>1274</v>
      </c>
      <c r="S69" s="28" t="s">
        <v>1274</v>
      </c>
      <c r="T69" s="28" t="s">
        <v>1274</v>
      </c>
      <c r="U69" s="28" t="s">
        <v>1274</v>
      </c>
      <c r="V69" s="28" t="s">
        <v>1274</v>
      </c>
      <c r="W69" s="28" t="s">
        <v>1274</v>
      </c>
      <c r="X69" s="28" t="s">
        <v>1274</v>
      </c>
      <c r="Y69" s="28" t="s">
        <v>1274</v>
      </c>
      <c r="Z69" s="28" t="s">
        <v>1274</v>
      </c>
      <c r="AA69" s="28" t="s">
        <v>1274</v>
      </c>
      <c r="AB69" s="28" t="s">
        <v>1274</v>
      </c>
      <c r="AC69" s="28" t="s">
        <v>1274</v>
      </c>
      <c r="AD69" s="28" t="s">
        <v>1274</v>
      </c>
      <c r="AE69" s="28" t="s">
        <v>1274</v>
      </c>
      <c r="AF69" s="28" t="s">
        <v>1274</v>
      </c>
      <c r="AG69" s="28" t="s">
        <v>1274</v>
      </c>
      <c r="AH69" s="28" t="s">
        <v>1274</v>
      </c>
      <c r="AI69" s="28" t="s">
        <v>1274</v>
      </c>
      <c r="AJ69" s="28" t="s">
        <v>1274</v>
      </c>
    </row>
    <row r="70" spans="1:36">
      <c r="A70" s="29" t="s">
        <v>1067</v>
      </c>
      <c r="B70" s="28" t="s">
        <v>1274</v>
      </c>
      <c r="C70" s="28" t="s">
        <v>1274</v>
      </c>
      <c r="D70" s="28" t="s">
        <v>1274</v>
      </c>
      <c r="E70" s="28" t="s">
        <v>1274</v>
      </c>
      <c r="F70" s="28" t="s">
        <v>1274</v>
      </c>
      <c r="G70" s="28" t="s">
        <v>1274</v>
      </c>
      <c r="H70" s="28" t="s">
        <v>1274</v>
      </c>
      <c r="I70" s="28" t="s">
        <v>1274</v>
      </c>
      <c r="J70" s="28" t="s">
        <v>1274</v>
      </c>
      <c r="K70" s="28" t="s">
        <v>1274</v>
      </c>
      <c r="L70" s="28" t="s">
        <v>1274</v>
      </c>
      <c r="M70" s="28" t="s">
        <v>1274</v>
      </c>
      <c r="N70" s="28" t="s">
        <v>1274</v>
      </c>
      <c r="O70" s="28" t="s">
        <v>1274</v>
      </c>
      <c r="P70" s="28" t="s">
        <v>1274</v>
      </c>
      <c r="Q70" s="28" t="s">
        <v>1274</v>
      </c>
      <c r="R70" s="28" t="s">
        <v>1274</v>
      </c>
      <c r="S70" s="28" t="s">
        <v>1274</v>
      </c>
      <c r="T70" s="28" t="s">
        <v>1274</v>
      </c>
      <c r="U70" s="28" t="s">
        <v>1274</v>
      </c>
      <c r="V70" s="28" t="s">
        <v>1274</v>
      </c>
      <c r="W70" s="28" t="s">
        <v>1274</v>
      </c>
      <c r="X70" s="28" t="s">
        <v>1274</v>
      </c>
      <c r="Y70" s="28" t="s">
        <v>1274</v>
      </c>
      <c r="Z70" s="28" t="s">
        <v>1274</v>
      </c>
      <c r="AA70" s="28" t="s">
        <v>1274</v>
      </c>
      <c r="AB70" s="28" t="s">
        <v>1274</v>
      </c>
      <c r="AC70" s="28" t="s">
        <v>1274</v>
      </c>
      <c r="AD70" s="28" t="s">
        <v>1274</v>
      </c>
      <c r="AE70" s="28" t="s">
        <v>1274</v>
      </c>
      <c r="AF70" s="28" t="s">
        <v>1274</v>
      </c>
      <c r="AG70" s="28" t="s">
        <v>1274</v>
      </c>
      <c r="AH70" s="28" t="s">
        <v>1274</v>
      </c>
      <c r="AI70" s="28" t="s">
        <v>1274</v>
      </c>
      <c r="AJ70" s="28" t="s">
        <v>1274</v>
      </c>
    </row>
    <row r="71" spans="1:36">
      <c r="A71" s="29" t="s">
        <v>1212</v>
      </c>
      <c r="B71" s="28" t="s">
        <v>1210</v>
      </c>
      <c r="C71" s="28" t="s">
        <v>1210</v>
      </c>
      <c r="D71" s="28" t="s">
        <v>1210</v>
      </c>
      <c r="E71" s="28" t="s">
        <v>1274</v>
      </c>
      <c r="F71" s="28" t="s">
        <v>1274</v>
      </c>
      <c r="G71" s="28" t="s">
        <v>1274</v>
      </c>
      <c r="H71" s="28" t="s">
        <v>1274</v>
      </c>
      <c r="I71" s="28" t="s">
        <v>1274</v>
      </c>
      <c r="J71" s="28" t="s">
        <v>1274</v>
      </c>
      <c r="K71" s="28" t="s">
        <v>1274</v>
      </c>
      <c r="L71" s="28" t="s">
        <v>1274</v>
      </c>
      <c r="M71" s="28" t="s">
        <v>1274</v>
      </c>
      <c r="N71" s="28" t="s">
        <v>1274</v>
      </c>
      <c r="O71" s="28" t="s">
        <v>1274</v>
      </c>
      <c r="P71" s="28" t="s">
        <v>1274</v>
      </c>
      <c r="Q71" s="28" t="s">
        <v>1274</v>
      </c>
      <c r="R71" s="28" t="s">
        <v>1274</v>
      </c>
      <c r="S71" s="28" t="s">
        <v>1274</v>
      </c>
      <c r="T71" s="28" t="s">
        <v>1274</v>
      </c>
      <c r="U71" s="28" t="s">
        <v>1274</v>
      </c>
      <c r="V71" s="28" t="s">
        <v>1274</v>
      </c>
      <c r="W71" s="28" t="s">
        <v>1274</v>
      </c>
      <c r="X71" s="28" t="s">
        <v>1274</v>
      </c>
      <c r="Y71" s="28" t="s">
        <v>1274</v>
      </c>
      <c r="Z71" s="28" t="s">
        <v>1274</v>
      </c>
      <c r="AA71" s="28" t="s">
        <v>1274</v>
      </c>
      <c r="AB71" s="28" t="s">
        <v>1274</v>
      </c>
      <c r="AC71" s="28" t="s">
        <v>1274</v>
      </c>
      <c r="AD71" s="28" t="s">
        <v>1274</v>
      </c>
      <c r="AE71" s="28" t="s">
        <v>1274</v>
      </c>
      <c r="AF71" s="28" t="s">
        <v>1274</v>
      </c>
      <c r="AG71" s="28" t="s">
        <v>1274</v>
      </c>
      <c r="AH71" s="28" t="s">
        <v>1274</v>
      </c>
      <c r="AI71" s="28" t="s">
        <v>1274</v>
      </c>
      <c r="AJ71" s="28" t="s">
        <v>1274</v>
      </c>
    </row>
    <row r="72" spans="1:36">
      <c r="A72" s="29" t="s">
        <v>1038</v>
      </c>
      <c r="B72" s="28" t="s">
        <v>1273</v>
      </c>
      <c r="C72" s="28" t="s">
        <v>1273</v>
      </c>
      <c r="D72" s="28" t="s">
        <v>1273</v>
      </c>
      <c r="E72" s="28" t="s">
        <v>1273</v>
      </c>
      <c r="F72" s="28" t="s">
        <v>1273</v>
      </c>
      <c r="G72" s="28" t="s">
        <v>1273</v>
      </c>
      <c r="H72" s="28" t="s">
        <v>1273</v>
      </c>
      <c r="I72" s="28" t="s">
        <v>1273</v>
      </c>
      <c r="J72" s="28" t="s">
        <v>1273</v>
      </c>
      <c r="K72" s="28" t="s">
        <v>1273</v>
      </c>
      <c r="L72" s="28" t="s">
        <v>1273</v>
      </c>
      <c r="M72" s="28" t="s">
        <v>1273</v>
      </c>
      <c r="N72" s="28" t="s">
        <v>1273</v>
      </c>
      <c r="O72" s="28" t="s">
        <v>1273</v>
      </c>
      <c r="P72" s="28" t="s">
        <v>1273</v>
      </c>
      <c r="Q72" s="28" t="s">
        <v>1273</v>
      </c>
      <c r="R72" s="28" t="s">
        <v>1273</v>
      </c>
      <c r="S72" s="28" t="s">
        <v>1273</v>
      </c>
      <c r="T72" s="28" t="s">
        <v>1273</v>
      </c>
      <c r="U72" s="28" t="s">
        <v>1273</v>
      </c>
      <c r="V72" s="28" t="s">
        <v>1273</v>
      </c>
      <c r="W72" s="28" t="s">
        <v>1273</v>
      </c>
      <c r="X72" s="28" t="s">
        <v>1273</v>
      </c>
      <c r="Y72" s="28" t="s">
        <v>1273</v>
      </c>
      <c r="Z72" s="28" t="s">
        <v>1273</v>
      </c>
      <c r="AA72" s="28" t="s">
        <v>1273</v>
      </c>
      <c r="AB72" s="28" t="s">
        <v>1273</v>
      </c>
      <c r="AC72" s="28" t="s">
        <v>1273</v>
      </c>
      <c r="AD72" s="28" t="s">
        <v>1273</v>
      </c>
      <c r="AE72" s="28" t="s">
        <v>1273</v>
      </c>
      <c r="AF72" s="28" t="s">
        <v>1273</v>
      </c>
      <c r="AG72" s="28" t="s">
        <v>1273</v>
      </c>
      <c r="AH72" s="28" t="s">
        <v>1273</v>
      </c>
      <c r="AI72" s="28" t="s">
        <v>1273</v>
      </c>
      <c r="AJ72" s="28" t="s">
        <v>1273</v>
      </c>
    </row>
    <row r="73" spans="1:36">
      <c r="A73" s="29" t="s">
        <v>346</v>
      </c>
      <c r="B73" s="28" t="s">
        <v>1271</v>
      </c>
      <c r="C73" s="28" t="s">
        <v>1271</v>
      </c>
      <c r="D73" s="28" t="s">
        <v>1271</v>
      </c>
      <c r="E73" s="28" t="s">
        <v>1271</v>
      </c>
      <c r="F73" s="28" t="s">
        <v>1271</v>
      </c>
      <c r="G73" s="28" t="s">
        <v>1271</v>
      </c>
      <c r="H73" s="28" t="s">
        <v>1271</v>
      </c>
      <c r="I73" s="28" t="s">
        <v>1271</v>
      </c>
      <c r="J73" s="28" t="s">
        <v>1271</v>
      </c>
      <c r="K73" s="28" t="s">
        <v>1271</v>
      </c>
      <c r="L73" s="28" t="s">
        <v>1271</v>
      </c>
      <c r="M73" s="28" t="s">
        <v>1271</v>
      </c>
      <c r="N73" s="28" t="s">
        <v>1271</v>
      </c>
      <c r="O73" s="28" t="s">
        <v>1271</v>
      </c>
      <c r="P73" s="28" t="s">
        <v>1271</v>
      </c>
      <c r="Q73" s="28" t="s">
        <v>1271</v>
      </c>
      <c r="R73" s="28" t="s">
        <v>1271</v>
      </c>
      <c r="S73" s="28" t="s">
        <v>1271</v>
      </c>
      <c r="T73" s="28" t="s">
        <v>1271</v>
      </c>
      <c r="U73" s="28" t="s">
        <v>1271</v>
      </c>
      <c r="V73" s="28" t="s">
        <v>1271</v>
      </c>
      <c r="W73" s="28" t="s">
        <v>1271</v>
      </c>
      <c r="X73" s="28" t="s">
        <v>1271</v>
      </c>
      <c r="Y73" s="28" t="s">
        <v>1271</v>
      </c>
      <c r="Z73" s="28" t="s">
        <v>1271</v>
      </c>
      <c r="AA73" s="28" t="s">
        <v>1271</v>
      </c>
      <c r="AB73" s="28" t="s">
        <v>1271</v>
      </c>
      <c r="AC73" s="28" t="s">
        <v>1271</v>
      </c>
      <c r="AD73" s="28" t="s">
        <v>1271</v>
      </c>
      <c r="AE73" s="28" t="s">
        <v>1271</v>
      </c>
      <c r="AF73" s="28" t="s">
        <v>1271</v>
      </c>
      <c r="AG73" s="28" t="s">
        <v>1271</v>
      </c>
      <c r="AH73" s="28" t="s">
        <v>1271</v>
      </c>
      <c r="AI73" s="28" t="s">
        <v>1271</v>
      </c>
      <c r="AJ73" s="28" t="s">
        <v>1271</v>
      </c>
    </row>
    <row r="74" spans="1:36">
      <c r="A74" s="29" t="s">
        <v>494</v>
      </c>
      <c r="B74" s="28" t="s">
        <v>1210</v>
      </c>
      <c r="C74" s="28" t="s">
        <v>1210</v>
      </c>
      <c r="D74" s="28" t="s">
        <v>1210</v>
      </c>
      <c r="E74" s="28" t="s">
        <v>1210</v>
      </c>
      <c r="F74" s="28" t="s">
        <v>1272</v>
      </c>
      <c r="G74" s="28" t="s">
        <v>1272</v>
      </c>
      <c r="H74" s="28" t="s">
        <v>1271</v>
      </c>
      <c r="I74" s="28" t="s">
        <v>1271</v>
      </c>
      <c r="J74" s="28" t="s">
        <v>1271</v>
      </c>
      <c r="K74" s="28" t="s">
        <v>1272</v>
      </c>
      <c r="L74" s="28" t="s">
        <v>1272</v>
      </c>
      <c r="M74" s="28" t="s">
        <v>1272</v>
      </c>
      <c r="N74" s="28" t="s">
        <v>1271</v>
      </c>
      <c r="O74" s="28" t="s">
        <v>1271</v>
      </c>
      <c r="P74" s="28" t="s">
        <v>1271</v>
      </c>
      <c r="Q74" s="28" t="s">
        <v>1271</v>
      </c>
      <c r="R74" s="28" t="s">
        <v>1272</v>
      </c>
      <c r="S74" s="28" t="s">
        <v>1272</v>
      </c>
      <c r="T74" s="28" t="s">
        <v>1272</v>
      </c>
      <c r="U74" s="28" t="s">
        <v>1272</v>
      </c>
      <c r="V74" s="28" t="s">
        <v>1272</v>
      </c>
      <c r="W74" s="28" t="s">
        <v>1272</v>
      </c>
      <c r="X74" s="28" t="s">
        <v>1272</v>
      </c>
      <c r="Y74" s="28" t="s">
        <v>1272</v>
      </c>
      <c r="Z74" s="28" t="s">
        <v>1272</v>
      </c>
      <c r="AA74" s="28" t="s">
        <v>1272</v>
      </c>
      <c r="AB74" s="28" t="s">
        <v>1272</v>
      </c>
      <c r="AC74" s="28" t="s">
        <v>1272</v>
      </c>
      <c r="AD74" s="28" t="s">
        <v>1273</v>
      </c>
      <c r="AE74" s="28" t="s">
        <v>1272</v>
      </c>
      <c r="AF74" s="28" t="s">
        <v>1272</v>
      </c>
      <c r="AG74" s="28" t="s">
        <v>1273</v>
      </c>
      <c r="AH74" s="28" t="s">
        <v>1273</v>
      </c>
      <c r="AI74" s="28" t="s">
        <v>1273</v>
      </c>
      <c r="AJ74" s="28" t="s">
        <v>1273</v>
      </c>
    </row>
    <row r="75" spans="1:36">
      <c r="A75" s="29" t="s">
        <v>1071</v>
      </c>
      <c r="B75" s="28" t="s">
        <v>1274</v>
      </c>
      <c r="C75" s="28" t="s">
        <v>1274</v>
      </c>
      <c r="D75" s="28" t="s">
        <v>1274</v>
      </c>
      <c r="E75" s="28" t="s">
        <v>1274</v>
      </c>
      <c r="F75" s="28" t="s">
        <v>1274</v>
      </c>
      <c r="G75" s="28" t="s">
        <v>1274</v>
      </c>
      <c r="H75" s="28" t="s">
        <v>1274</v>
      </c>
      <c r="I75" s="28" t="s">
        <v>1274</v>
      </c>
      <c r="J75" s="28" t="s">
        <v>1274</v>
      </c>
      <c r="K75" s="28" t="s">
        <v>1274</v>
      </c>
      <c r="L75" s="28" t="s">
        <v>1274</v>
      </c>
      <c r="M75" s="28" t="s">
        <v>1274</v>
      </c>
      <c r="N75" s="28" t="s">
        <v>1274</v>
      </c>
      <c r="O75" s="28" t="s">
        <v>1274</v>
      </c>
      <c r="P75" s="28" t="s">
        <v>1274</v>
      </c>
      <c r="Q75" s="28" t="s">
        <v>1274</v>
      </c>
      <c r="R75" s="28" t="s">
        <v>1274</v>
      </c>
      <c r="S75" s="28" t="s">
        <v>1274</v>
      </c>
      <c r="T75" s="28" t="s">
        <v>1274</v>
      </c>
      <c r="U75" s="28" t="s">
        <v>1274</v>
      </c>
      <c r="V75" s="28" t="s">
        <v>1274</v>
      </c>
      <c r="W75" s="28" t="s">
        <v>1274</v>
      </c>
      <c r="X75" s="28" t="s">
        <v>1274</v>
      </c>
      <c r="Y75" s="28" t="s">
        <v>1274</v>
      </c>
      <c r="Z75" s="28" t="s">
        <v>1274</v>
      </c>
      <c r="AA75" s="28" t="s">
        <v>1274</v>
      </c>
      <c r="AB75" s="28" t="s">
        <v>1274</v>
      </c>
      <c r="AC75" s="28" t="s">
        <v>1274</v>
      </c>
      <c r="AD75" s="28" t="s">
        <v>1274</v>
      </c>
      <c r="AE75" s="28" t="s">
        <v>1274</v>
      </c>
      <c r="AF75" s="28" t="s">
        <v>1274</v>
      </c>
      <c r="AG75" s="28" t="s">
        <v>1274</v>
      </c>
      <c r="AH75" s="28" t="s">
        <v>1274</v>
      </c>
      <c r="AI75" s="28" t="s">
        <v>1274</v>
      </c>
      <c r="AJ75" s="28" t="s">
        <v>1274</v>
      </c>
    </row>
    <row r="76" spans="1:36">
      <c r="A76" s="29" t="s">
        <v>1039</v>
      </c>
      <c r="B76" s="28" t="s">
        <v>1271</v>
      </c>
      <c r="C76" s="28" t="s">
        <v>1271</v>
      </c>
      <c r="D76" s="28" t="s">
        <v>1271</v>
      </c>
      <c r="E76" s="28" t="s">
        <v>1271</v>
      </c>
      <c r="F76" s="28" t="s">
        <v>1271</v>
      </c>
      <c r="G76" s="28" t="s">
        <v>1271</v>
      </c>
      <c r="H76" s="28" t="s">
        <v>1271</v>
      </c>
      <c r="I76" s="28" t="s">
        <v>1271</v>
      </c>
      <c r="J76" s="28" t="s">
        <v>1271</v>
      </c>
      <c r="K76" s="28" t="s">
        <v>1271</v>
      </c>
      <c r="L76" s="28" t="s">
        <v>1271</v>
      </c>
      <c r="M76" s="28" t="s">
        <v>1271</v>
      </c>
      <c r="N76" s="28" t="s">
        <v>1271</v>
      </c>
      <c r="O76" s="28" t="s">
        <v>1271</v>
      </c>
      <c r="P76" s="28" t="s">
        <v>1271</v>
      </c>
      <c r="Q76" s="28" t="s">
        <v>1271</v>
      </c>
      <c r="R76" s="28" t="s">
        <v>1271</v>
      </c>
      <c r="S76" s="28" t="s">
        <v>1271</v>
      </c>
      <c r="T76" s="28" t="s">
        <v>1271</v>
      </c>
      <c r="U76" s="28" t="s">
        <v>1271</v>
      </c>
      <c r="V76" s="28" t="s">
        <v>1271</v>
      </c>
      <c r="W76" s="28" t="s">
        <v>1271</v>
      </c>
      <c r="X76" s="28" t="s">
        <v>1271</v>
      </c>
      <c r="Y76" s="28" t="s">
        <v>1272</v>
      </c>
      <c r="Z76" s="28" t="s">
        <v>1272</v>
      </c>
      <c r="AA76" s="28" t="s">
        <v>1272</v>
      </c>
      <c r="AB76" s="28" t="s">
        <v>1272</v>
      </c>
      <c r="AC76" s="28" t="s">
        <v>1272</v>
      </c>
      <c r="AD76" s="28" t="s">
        <v>1272</v>
      </c>
      <c r="AE76" s="28" t="s">
        <v>1272</v>
      </c>
      <c r="AF76" s="28" t="s">
        <v>1272</v>
      </c>
      <c r="AG76" s="28" t="s">
        <v>1272</v>
      </c>
      <c r="AH76" s="28" t="s">
        <v>1272</v>
      </c>
      <c r="AI76" s="28" t="s">
        <v>1272</v>
      </c>
      <c r="AJ76" s="28" t="s">
        <v>1272</v>
      </c>
    </row>
    <row r="77" spans="1:36">
      <c r="A77" s="29" t="s">
        <v>1176</v>
      </c>
      <c r="B77" s="28" t="s">
        <v>1273</v>
      </c>
      <c r="C77" s="28" t="s">
        <v>1273</v>
      </c>
      <c r="D77" s="28" t="s">
        <v>1273</v>
      </c>
      <c r="E77" s="28" t="s">
        <v>1273</v>
      </c>
      <c r="F77" s="28" t="s">
        <v>1273</v>
      </c>
      <c r="G77" s="28" t="s">
        <v>1273</v>
      </c>
      <c r="H77" s="28" t="s">
        <v>1273</v>
      </c>
      <c r="I77" s="28" t="s">
        <v>1210</v>
      </c>
      <c r="J77" s="28" t="s">
        <v>1210</v>
      </c>
      <c r="K77" s="28" t="s">
        <v>1210</v>
      </c>
      <c r="L77" s="28" t="s">
        <v>1210</v>
      </c>
      <c r="M77" s="28" t="s">
        <v>1210</v>
      </c>
      <c r="N77" s="28" t="s">
        <v>1210</v>
      </c>
      <c r="O77" s="28" t="s">
        <v>1210</v>
      </c>
      <c r="P77" s="28" t="s">
        <v>1210</v>
      </c>
      <c r="Q77" s="28" t="s">
        <v>1210</v>
      </c>
      <c r="R77" s="28" t="s">
        <v>1210</v>
      </c>
      <c r="S77" s="28" t="s">
        <v>1210</v>
      </c>
      <c r="T77" s="28" t="s">
        <v>1210</v>
      </c>
      <c r="U77" s="28" t="s">
        <v>1210</v>
      </c>
      <c r="V77" s="28" t="s">
        <v>1210</v>
      </c>
      <c r="W77" s="28" t="s">
        <v>1210</v>
      </c>
      <c r="X77" s="28" t="s">
        <v>1274</v>
      </c>
      <c r="Y77" s="28" t="s">
        <v>1274</v>
      </c>
      <c r="Z77" s="28" t="s">
        <v>1210</v>
      </c>
      <c r="AA77" s="28" t="s">
        <v>1210</v>
      </c>
      <c r="AB77" s="28" t="s">
        <v>1210</v>
      </c>
      <c r="AC77" s="28" t="s">
        <v>1210</v>
      </c>
      <c r="AD77" s="28" t="s">
        <v>1274</v>
      </c>
      <c r="AE77" s="28" t="s">
        <v>1274</v>
      </c>
      <c r="AF77" s="28" t="s">
        <v>1274</v>
      </c>
      <c r="AG77" s="28" t="s">
        <v>1274</v>
      </c>
      <c r="AH77" s="28" t="s">
        <v>1274</v>
      </c>
      <c r="AI77" s="28" t="s">
        <v>1274</v>
      </c>
      <c r="AJ77" s="28" t="s">
        <v>1274</v>
      </c>
    </row>
    <row r="78" spans="1:36">
      <c r="A78" s="29" t="s">
        <v>1073</v>
      </c>
      <c r="B78" s="28" t="s">
        <v>1273</v>
      </c>
      <c r="C78" s="28" t="s">
        <v>1273</v>
      </c>
      <c r="D78" s="28" t="s">
        <v>1273</v>
      </c>
      <c r="E78" s="28" t="s">
        <v>1273</v>
      </c>
      <c r="F78" s="28" t="s">
        <v>1273</v>
      </c>
      <c r="G78" s="28" t="s">
        <v>1273</v>
      </c>
      <c r="H78" s="28" t="s">
        <v>1273</v>
      </c>
      <c r="I78" s="28" t="s">
        <v>1273</v>
      </c>
      <c r="J78" s="28" t="s">
        <v>1273</v>
      </c>
      <c r="K78" s="28" t="s">
        <v>1274</v>
      </c>
      <c r="L78" s="28" t="s">
        <v>1274</v>
      </c>
      <c r="M78" s="28" t="s">
        <v>1274</v>
      </c>
      <c r="N78" s="28" t="s">
        <v>1274</v>
      </c>
      <c r="O78" s="28" t="s">
        <v>1274</v>
      </c>
      <c r="P78" s="28" t="s">
        <v>1274</v>
      </c>
      <c r="Q78" s="28" t="s">
        <v>1274</v>
      </c>
      <c r="R78" s="28" t="s">
        <v>1274</v>
      </c>
      <c r="S78" s="28" t="s">
        <v>1274</v>
      </c>
      <c r="T78" s="28" t="s">
        <v>1274</v>
      </c>
      <c r="U78" s="28" t="s">
        <v>1274</v>
      </c>
      <c r="V78" s="28" t="s">
        <v>1274</v>
      </c>
      <c r="W78" s="28" t="s">
        <v>1274</v>
      </c>
      <c r="X78" s="28" t="s">
        <v>1274</v>
      </c>
      <c r="Y78" s="28" t="s">
        <v>1274</v>
      </c>
      <c r="Z78" s="28" t="s">
        <v>1274</v>
      </c>
      <c r="AA78" s="28" t="s">
        <v>1274</v>
      </c>
      <c r="AB78" s="28" t="s">
        <v>1274</v>
      </c>
      <c r="AC78" s="28" t="s">
        <v>1274</v>
      </c>
      <c r="AD78" s="28" t="s">
        <v>1274</v>
      </c>
      <c r="AE78" s="28" t="s">
        <v>1274</v>
      </c>
      <c r="AF78" s="28" t="s">
        <v>1274</v>
      </c>
      <c r="AG78" s="28" t="s">
        <v>1274</v>
      </c>
      <c r="AH78" s="28" t="s">
        <v>1274</v>
      </c>
      <c r="AI78" s="28" t="s">
        <v>1274</v>
      </c>
      <c r="AJ78" s="28" t="s">
        <v>1274</v>
      </c>
    </row>
    <row r="79" spans="1:36">
      <c r="A79" s="29" t="s">
        <v>1177</v>
      </c>
      <c r="B79" s="28" t="s">
        <v>1274</v>
      </c>
      <c r="C79" s="28" t="s">
        <v>1274</v>
      </c>
      <c r="D79" s="28" t="s">
        <v>1274</v>
      </c>
      <c r="E79" s="28" t="s">
        <v>1274</v>
      </c>
      <c r="F79" s="28" t="s">
        <v>1274</v>
      </c>
      <c r="G79" s="28" t="s">
        <v>1274</v>
      </c>
      <c r="H79" s="28" t="s">
        <v>1274</v>
      </c>
      <c r="I79" s="28" t="s">
        <v>1274</v>
      </c>
      <c r="J79" s="28" t="s">
        <v>1274</v>
      </c>
      <c r="K79" s="28" t="s">
        <v>1274</v>
      </c>
      <c r="L79" s="28" t="s">
        <v>1274</v>
      </c>
      <c r="M79" s="28" t="s">
        <v>1274</v>
      </c>
      <c r="N79" s="28" t="s">
        <v>1274</v>
      </c>
      <c r="O79" s="28" t="s">
        <v>1274</v>
      </c>
      <c r="P79" s="28" t="s">
        <v>1274</v>
      </c>
      <c r="Q79" s="28" t="s">
        <v>1274</v>
      </c>
      <c r="R79" s="28" t="s">
        <v>1274</v>
      </c>
      <c r="S79" s="28" t="s">
        <v>1274</v>
      </c>
      <c r="T79" s="28" t="s">
        <v>1274</v>
      </c>
      <c r="U79" s="28" t="s">
        <v>1274</v>
      </c>
      <c r="V79" s="28" t="s">
        <v>1274</v>
      </c>
      <c r="W79" s="28" t="s">
        <v>1274</v>
      </c>
      <c r="X79" s="28" t="s">
        <v>1274</v>
      </c>
      <c r="Y79" s="28" t="s">
        <v>1274</v>
      </c>
      <c r="Z79" s="28" t="s">
        <v>1274</v>
      </c>
      <c r="AA79" s="28" t="s">
        <v>1274</v>
      </c>
      <c r="AB79" s="28" t="s">
        <v>1274</v>
      </c>
      <c r="AC79" s="28" t="s">
        <v>1274</v>
      </c>
      <c r="AD79" s="28" t="s">
        <v>1274</v>
      </c>
      <c r="AE79" s="28" t="s">
        <v>1274</v>
      </c>
      <c r="AF79" s="28" t="s">
        <v>1274</v>
      </c>
      <c r="AG79" s="28" t="s">
        <v>1274</v>
      </c>
      <c r="AH79" s="28" t="s">
        <v>1274</v>
      </c>
      <c r="AI79" s="28" t="s">
        <v>1274</v>
      </c>
      <c r="AJ79" s="28" t="s">
        <v>1274</v>
      </c>
    </row>
    <row r="80" spans="1:36">
      <c r="A80" s="29" t="s">
        <v>1075</v>
      </c>
      <c r="B80" s="28" t="s">
        <v>1272</v>
      </c>
      <c r="C80" s="28" t="s">
        <v>1272</v>
      </c>
      <c r="D80" s="28" t="s">
        <v>1272</v>
      </c>
      <c r="E80" s="28" t="s">
        <v>1272</v>
      </c>
      <c r="F80" s="28" t="s">
        <v>1272</v>
      </c>
      <c r="G80" s="28" t="s">
        <v>1272</v>
      </c>
      <c r="H80" s="28" t="s">
        <v>1272</v>
      </c>
      <c r="I80" s="28" t="s">
        <v>1272</v>
      </c>
      <c r="J80" s="28" t="s">
        <v>1272</v>
      </c>
      <c r="K80" s="28" t="s">
        <v>1272</v>
      </c>
      <c r="L80" s="28" t="s">
        <v>1273</v>
      </c>
      <c r="M80" s="28" t="s">
        <v>1273</v>
      </c>
      <c r="N80" s="28" t="s">
        <v>1273</v>
      </c>
      <c r="O80" s="28" t="s">
        <v>1273</v>
      </c>
      <c r="P80" s="28" t="s">
        <v>1273</v>
      </c>
      <c r="Q80" s="28" t="s">
        <v>1273</v>
      </c>
      <c r="R80" s="28" t="s">
        <v>1273</v>
      </c>
      <c r="S80" s="28" t="s">
        <v>1273</v>
      </c>
      <c r="T80" s="28" t="s">
        <v>1273</v>
      </c>
      <c r="U80" s="28" t="s">
        <v>1273</v>
      </c>
      <c r="V80" s="28" t="s">
        <v>1273</v>
      </c>
      <c r="W80" s="28" t="s">
        <v>1273</v>
      </c>
      <c r="X80" s="28" t="s">
        <v>1273</v>
      </c>
      <c r="Y80" s="28" t="s">
        <v>1273</v>
      </c>
      <c r="Z80" s="28" t="s">
        <v>1273</v>
      </c>
      <c r="AA80" s="28" t="s">
        <v>1273</v>
      </c>
      <c r="AB80" s="28" t="s">
        <v>1273</v>
      </c>
      <c r="AC80" s="28" t="s">
        <v>1273</v>
      </c>
      <c r="AD80" s="28" t="s">
        <v>1273</v>
      </c>
      <c r="AE80" s="28" t="s">
        <v>1273</v>
      </c>
      <c r="AF80" s="28" t="s">
        <v>1273</v>
      </c>
      <c r="AG80" s="28" t="s">
        <v>1273</v>
      </c>
      <c r="AH80" s="28" t="s">
        <v>1273</v>
      </c>
      <c r="AI80" s="28" t="s">
        <v>1273</v>
      </c>
      <c r="AJ80" s="28" t="s">
        <v>1273</v>
      </c>
    </row>
    <row r="81" spans="1:36">
      <c r="A81" s="29" t="s">
        <v>1178</v>
      </c>
      <c r="B81" s="28" t="s">
        <v>1274</v>
      </c>
      <c r="C81" s="28" t="s">
        <v>1274</v>
      </c>
      <c r="D81" s="28" t="s">
        <v>1274</v>
      </c>
      <c r="E81" s="28" t="s">
        <v>1273</v>
      </c>
      <c r="F81" s="28" t="s">
        <v>1273</v>
      </c>
      <c r="G81" s="28" t="s">
        <v>1273</v>
      </c>
      <c r="H81" s="28" t="s">
        <v>1273</v>
      </c>
      <c r="I81" s="28" t="s">
        <v>1273</v>
      </c>
      <c r="J81" s="28" t="s">
        <v>1274</v>
      </c>
      <c r="K81" s="28" t="s">
        <v>1274</v>
      </c>
      <c r="L81" s="28" t="s">
        <v>1274</v>
      </c>
      <c r="M81" s="28" t="s">
        <v>1274</v>
      </c>
      <c r="N81" s="28" t="s">
        <v>1274</v>
      </c>
      <c r="O81" s="28" t="s">
        <v>1274</v>
      </c>
      <c r="P81" s="28" t="s">
        <v>1274</v>
      </c>
      <c r="Q81" s="28" t="s">
        <v>1274</v>
      </c>
      <c r="R81" s="28" t="s">
        <v>1274</v>
      </c>
      <c r="S81" s="28" t="s">
        <v>1274</v>
      </c>
      <c r="T81" s="28" t="s">
        <v>1274</v>
      </c>
      <c r="U81" s="28" t="s">
        <v>1274</v>
      </c>
      <c r="V81" s="28" t="s">
        <v>1274</v>
      </c>
      <c r="W81" s="28" t="s">
        <v>1274</v>
      </c>
      <c r="X81" s="28" t="s">
        <v>1274</v>
      </c>
      <c r="Y81" s="28" t="s">
        <v>1274</v>
      </c>
      <c r="Z81" s="28" t="s">
        <v>1274</v>
      </c>
      <c r="AA81" s="28" t="s">
        <v>1274</v>
      </c>
      <c r="AB81" s="28" t="s">
        <v>1274</v>
      </c>
      <c r="AC81" s="28" t="s">
        <v>1274</v>
      </c>
      <c r="AD81" s="28" t="s">
        <v>1274</v>
      </c>
      <c r="AE81" s="28" t="s">
        <v>1274</v>
      </c>
      <c r="AF81" s="28" t="s">
        <v>1274</v>
      </c>
      <c r="AG81" s="28" t="s">
        <v>1274</v>
      </c>
      <c r="AH81" s="28" t="s">
        <v>1274</v>
      </c>
      <c r="AI81" s="28" t="s">
        <v>1274</v>
      </c>
      <c r="AJ81" s="28" t="s">
        <v>1274</v>
      </c>
    </row>
    <row r="82" spans="1:36">
      <c r="A82" s="29" t="s">
        <v>1041</v>
      </c>
      <c r="B82" s="28" t="s">
        <v>1272</v>
      </c>
      <c r="C82" s="28" t="s">
        <v>1272</v>
      </c>
      <c r="D82" s="28" t="s">
        <v>1272</v>
      </c>
      <c r="E82" s="28" t="s">
        <v>1272</v>
      </c>
      <c r="F82" s="28" t="s">
        <v>1272</v>
      </c>
      <c r="G82" s="28" t="s">
        <v>1272</v>
      </c>
      <c r="H82" s="28" t="s">
        <v>1272</v>
      </c>
      <c r="I82" s="28" t="s">
        <v>1272</v>
      </c>
      <c r="J82" s="28" t="s">
        <v>1272</v>
      </c>
      <c r="K82" s="28" t="s">
        <v>1272</v>
      </c>
      <c r="L82" s="28" t="s">
        <v>1272</v>
      </c>
      <c r="M82" s="28" t="s">
        <v>1272</v>
      </c>
      <c r="N82" s="28" t="s">
        <v>1272</v>
      </c>
      <c r="O82" s="28" t="s">
        <v>1272</v>
      </c>
      <c r="P82" s="28" t="s">
        <v>1272</v>
      </c>
      <c r="Q82" s="28" t="s">
        <v>1272</v>
      </c>
      <c r="R82" s="28" t="s">
        <v>1272</v>
      </c>
      <c r="S82" s="28" t="s">
        <v>1272</v>
      </c>
      <c r="T82" s="28" t="s">
        <v>1272</v>
      </c>
      <c r="U82" s="28" t="s">
        <v>1272</v>
      </c>
      <c r="V82" s="28" t="s">
        <v>1272</v>
      </c>
      <c r="W82" s="28" t="s">
        <v>1272</v>
      </c>
      <c r="X82" s="28" t="s">
        <v>1272</v>
      </c>
      <c r="Y82" s="28" t="s">
        <v>1272</v>
      </c>
      <c r="Z82" s="28" t="s">
        <v>1272</v>
      </c>
      <c r="AA82" s="28" t="s">
        <v>1272</v>
      </c>
      <c r="AB82" s="28" t="s">
        <v>1272</v>
      </c>
      <c r="AC82" s="28" t="s">
        <v>1272</v>
      </c>
      <c r="AD82" s="28" t="s">
        <v>1272</v>
      </c>
      <c r="AE82" s="28" t="s">
        <v>1272</v>
      </c>
      <c r="AF82" s="28" t="s">
        <v>1273</v>
      </c>
      <c r="AG82" s="28" t="s">
        <v>1273</v>
      </c>
      <c r="AH82" s="28" t="s">
        <v>1273</v>
      </c>
      <c r="AI82" s="28" t="s">
        <v>1273</v>
      </c>
      <c r="AJ82" s="28" t="s">
        <v>1273</v>
      </c>
    </row>
    <row r="83" spans="1:36">
      <c r="A83" s="29" t="s">
        <v>1043</v>
      </c>
      <c r="B83" s="28" t="s">
        <v>1271</v>
      </c>
      <c r="C83" s="28" t="s">
        <v>1271</v>
      </c>
      <c r="D83" s="28" t="s">
        <v>1271</v>
      </c>
      <c r="E83" s="28" t="s">
        <v>1271</v>
      </c>
      <c r="F83" s="28" t="s">
        <v>1271</v>
      </c>
      <c r="G83" s="28" t="s">
        <v>1271</v>
      </c>
      <c r="H83" s="28" t="s">
        <v>1271</v>
      </c>
      <c r="I83" s="28" t="s">
        <v>1271</v>
      </c>
      <c r="J83" s="28" t="s">
        <v>1271</v>
      </c>
      <c r="K83" s="28" t="s">
        <v>1271</v>
      </c>
      <c r="L83" s="28" t="s">
        <v>1271</v>
      </c>
      <c r="M83" s="28" t="s">
        <v>1271</v>
      </c>
      <c r="N83" s="28" t="s">
        <v>1271</v>
      </c>
      <c r="O83" s="28" t="s">
        <v>1271</v>
      </c>
      <c r="P83" s="28" t="s">
        <v>1271</v>
      </c>
      <c r="Q83" s="28" t="s">
        <v>1271</v>
      </c>
      <c r="R83" s="28" t="s">
        <v>1271</v>
      </c>
      <c r="S83" s="28" t="s">
        <v>1271</v>
      </c>
      <c r="T83" s="28" t="s">
        <v>1271</v>
      </c>
      <c r="U83" s="28" t="s">
        <v>1271</v>
      </c>
      <c r="V83" s="28" t="s">
        <v>1271</v>
      </c>
      <c r="W83" s="28" t="s">
        <v>1271</v>
      </c>
      <c r="X83" s="28" t="s">
        <v>1271</v>
      </c>
      <c r="Y83" s="28" t="s">
        <v>1271</v>
      </c>
      <c r="Z83" s="28" t="s">
        <v>1271</v>
      </c>
      <c r="AA83" s="28" t="s">
        <v>1271</v>
      </c>
      <c r="AB83" s="28" t="s">
        <v>1271</v>
      </c>
      <c r="AC83" s="28" t="s">
        <v>1271</v>
      </c>
      <c r="AD83" s="28" t="s">
        <v>1271</v>
      </c>
      <c r="AE83" s="28" t="s">
        <v>1271</v>
      </c>
      <c r="AF83" s="28" t="s">
        <v>1271</v>
      </c>
      <c r="AG83" s="28" t="s">
        <v>1271</v>
      </c>
      <c r="AH83" s="28" t="s">
        <v>1271</v>
      </c>
      <c r="AI83" s="28" t="s">
        <v>1271</v>
      </c>
      <c r="AJ83" s="28" t="s">
        <v>1271</v>
      </c>
    </row>
    <row r="84" spans="1:36">
      <c r="A84" s="29" t="s">
        <v>1044</v>
      </c>
      <c r="B84" s="28" t="s">
        <v>1271</v>
      </c>
      <c r="C84" s="28" t="s">
        <v>1271</v>
      </c>
      <c r="D84" s="28" t="s">
        <v>1271</v>
      </c>
      <c r="E84" s="28" t="s">
        <v>1271</v>
      </c>
      <c r="F84" s="28" t="s">
        <v>1271</v>
      </c>
      <c r="G84" s="28" t="s">
        <v>1271</v>
      </c>
      <c r="H84" s="28" t="s">
        <v>1271</v>
      </c>
      <c r="I84" s="28" t="s">
        <v>1271</v>
      </c>
      <c r="J84" s="28" t="s">
        <v>1271</v>
      </c>
      <c r="K84" s="28" t="s">
        <v>1271</v>
      </c>
      <c r="L84" s="28" t="s">
        <v>1271</v>
      </c>
      <c r="M84" s="28" t="s">
        <v>1271</v>
      </c>
      <c r="N84" s="28" t="s">
        <v>1271</v>
      </c>
      <c r="O84" s="28" t="s">
        <v>1271</v>
      </c>
      <c r="P84" s="28" t="s">
        <v>1271</v>
      </c>
      <c r="Q84" s="28" t="s">
        <v>1271</v>
      </c>
      <c r="R84" s="28" t="s">
        <v>1271</v>
      </c>
      <c r="S84" s="28" t="s">
        <v>1271</v>
      </c>
      <c r="T84" s="28" t="s">
        <v>1271</v>
      </c>
      <c r="U84" s="28" t="s">
        <v>1271</v>
      </c>
      <c r="V84" s="28" t="s">
        <v>1271</v>
      </c>
      <c r="W84" s="28" t="s">
        <v>1271</v>
      </c>
      <c r="X84" s="28" t="s">
        <v>1271</v>
      </c>
      <c r="Y84" s="28" t="s">
        <v>1271</v>
      </c>
      <c r="Z84" s="28" t="s">
        <v>1271</v>
      </c>
      <c r="AA84" s="28" t="s">
        <v>1271</v>
      </c>
      <c r="AB84" s="28" t="s">
        <v>1271</v>
      </c>
      <c r="AC84" s="28" t="s">
        <v>1271</v>
      </c>
      <c r="AD84" s="28" t="s">
        <v>1271</v>
      </c>
      <c r="AE84" s="28" t="s">
        <v>1271</v>
      </c>
      <c r="AF84" s="28" t="s">
        <v>1271</v>
      </c>
      <c r="AG84" s="28" t="s">
        <v>1271</v>
      </c>
      <c r="AH84" s="28" t="s">
        <v>1271</v>
      </c>
      <c r="AI84" s="28" t="s">
        <v>1271</v>
      </c>
      <c r="AJ84" s="28" t="s">
        <v>1271</v>
      </c>
    </row>
    <row r="85" spans="1:36">
      <c r="A85" s="29" t="s">
        <v>1045</v>
      </c>
      <c r="B85" s="28" t="s">
        <v>1271</v>
      </c>
      <c r="C85" s="28" t="s">
        <v>1271</v>
      </c>
      <c r="D85" s="28" t="s">
        <v>1271</v>
      </c>
      <c r="E85" s="28" t="s">
        <v>1271</v>
      </c>
      <c r="F85" s="28" t="s">
        <v>1271</v>
      </c>
      <c r="G85" s="28" t="s">
        <v>1271</v>
      </c>
      <c r="H85" s="28" t="s">
        <v>1271</v>
      </c>
      <c r="I85" s="28" t="s">
        <v>1271</v>
      </c>
      <c r="J85" s="28" t="s">
        <v>1271</v>
      </c>
      <c r="K85" s="28" t="s">
        <v>1271</v>
      </c>
      <c r="L85" s="28" t="s">
        <v>1272</v>
      </c>
      <c r="M85" s="28" t="s">
        <v>1272</v>
      </c>
      <c r="N85" s="28" t="s">
        <v>1272</v>
      </c>
      <c r="O85" s="28" t="s">
        <v>1272</v>
      </c>
      <c r="P85" s="28" t="s">
        <v>1272</v>
      </c>
      <c r="Q85" s="28" t="s">
        <v>1272</v>
      </c>
      <c r="R85" s="28" t="s">
        <v>1272</v>
      </c>
      <c r="S85" s="28" t="s">
        <v>1272</v>
      </c>
      <c r="T85" s="28" t="s">
        <v>1272</v>
      </c>
      <c r="U85" s="28" t="s">
        <v>1272</v>
      </c>
      <c r="V85" s="28" t="s">
        <v>1272</v>
      </c>
      <c r="W85" s="28" t="s">
        <v>1272</v>
      </c>
      <c r="X85" s="28" t="s">
        <v>1272</v>
      </c>
      <c r="Y85" s="28" t="s">
        <v>1272</v>
      </c>
      <c r="Z85" s="28" t="s">
        <v>1272</v>
      </c>
      <c r="AA85" s="28" t="s">
        <v>1272</v>
      </c>
      <c r="AB85" s="28" t="s">
        <v>1272</v>
      </c>
      <c r="AC85" s="28" t="s">
        <v>1272</v>
      </c>
      <c r="AD85" s="28" t="s">
        <v>1273</v>
      </c>
      <c r="AE85" s="28" t="s">
        <v>1273</v>
      </c>
      <c r="AF85" s="28" t="s">
        <v>1273</v>
      </c>
      <c r="AG85" s="28" t="s">
        <v>1273</v>
      </c>
      <c r="AH85" s="28" t="s">
        <v>1273</v>
      </c>
      <c r="AI85" s="28" t="s">
        <v>1273</v>
      </c>
      <c r="AJ85" s="28" t="s">
        <v>1273</v>
      </c>
    </row>
    <row r="86" spans="1:36">
      <c r="A86" s="29" t="s">
        <v>1047</v>
      </c>
      <c r="B86" s="28" t="s">
        <v>1271</v>
      </c>
      <c r="C86" s="28" t="s">
        <v>1271</v>
      </c>
      <c r="D86" s="28" t="s">
        <v>1271</v>
      </c>
      <c r="E86" s="28" t="s">
        <v>1271</v>
      </c>
      <c r="F86" s="28" t="s">
        <v>1271</v>
      </c>
      <c r="G86" s="28" t="s">
        <v>1271</v>
      </c>
      <c r="H86" s="28" t="s">
        <v>1271</v>
      </c>
      <c r="I86" s="28" t="s">
        <v>1271</v>
      </c>
      <c r="J86" s="28" t="s">
        <v>1271</v>
      </c>
      <c r="K86" s="28" t="s">
        <v>1271</v>
      </c>
      <c r="L86" s="28" t="s">
        <v>1271</v>
      </c>
      <c r="M86" s="28" t="s">
        <v>1271</v>
      </c>
      <c r="N86" s="28" t="s">
        <v>1271</v>
      </c>
      <c r="O86" s="28" t="s">
        <v>1271</v>
      </c>
      <c r="P86" s="28" t="s">
        <v>1271</v>
      </c>
      <c r="Q86" s="28" t="s">
        <v>1271</v>
      </c>
      <c r="R86" s="28" t="s">
        <v>1271</v>
      </c>
      <c r="S86" s="28" t="s">
        <v>1271</v>
      </c>
      <c r="T86" s="28" t="s">
        <v>1271</v>
      </c>
      <c r="U86" s="28" t="s">
        <v>1271</v>
      </c>
      <c r="V86" s="28" t="s">
        <v>1271</v>
      </c>
      <c r="W86" s="28" t="s">
        <v>1271</v>
      </c>
      <c r="X86" s="28" t="s">
        <v>1271</v>
      </c>
      <c r="Y86" s="28" t="s">
        <v>1271</v>
      </c>
      <c r="Z86" s="28" t="s">
        <v>1271</v>
      </c>
      <c r="AA86" s="28" t="s">
        <v>1271</v>
      </c>
      <c r="AB86" s="28" t="s">
        <v>1271</v>
      </c>
      <c r="AC86" s="28" t="s">
        <v>1271</v>
      </c>
      <c r="AD86" s="28" t="s">
        <v>1271</v>
      </c>
      <c r="AE86" s="28" t="s">
        <v>1271</v>
      </c>
      <c r="AF86" s="28" t="s">
        <v>1271</v>
      </c>
      <c r="AG86" s="28" t="s">
        <v>1271</v>
      </c>
      <c r="AH86" s="28" t="s">
        <v>1271</v>
      </c>
      <c r="AI86" s="28" t="s">
        <v>1272</v>
      </c>
      <c r="AJ86" s="28" t="s">
        <v>1272</v>
      </c>
    </row>
    <row r="87" spans="1:36">
      <c r="A87" s="29" t="s">
        <v>567</v>
      </c>
      <c r="B87" s="28" t="s">
        <v>1272</v>
      </c>
      <c r="C87" s="28" t="s">
        <v>1272</v>
      </c>
      <c r="D87" s="28" t="s">
        <v>1272</v>
      </c>
      <c r="E87" s="28" t="s">
        <v>1271</v>
      </c>
      <c r="F87" s="28" t="s">
        <v>1271</v>
      </c>
      <c r="G87" s="28" t="s">
        <v>1271</v>
      </c>
      <c r="H87" s="28" t="s">
        <v>1271</v>
      </c>
      <c r="I87" s="28" t="s">
        <v>1271</v>
      </c>
      <c r="J87" s="28" t="s">
        <v>1271</v>
      </c>
      <c r="K87" s="28" t="s">
        <v>1271</v>
      </c>
      <c r="L87" s="28" t="s">
        <v>1271</v>
      </c>
      <c r="M87" s="28" t="s">
        <v>1271</v>
      </c>
      <c r="N87" s="28" t="s">
        <v>1272</v>
      </c>
      <c r="O87" s="28" t="s">
        <v>1272</v>
      </c>
      <c r="P87" s="28" t="s">
        <v>1272</v>
      </c>
      <c r="Q87" s="28" t="s">
        <v>1272</v>
      </c>
      <c r="R87" s="28" t="s">
        <v>1272</v>
      </c>
      <c r="S87" s="28" t="s">
        <v>1272</v>
      </c>
      <c r="T87" s="28" t="s">
        <v>1272</v>
      </c>
      <c r="U87" s="28" t="s">
        <v>1272</v>
      </c>
      <c r="V87" s="28" t="s">
        <v>1272</v>
      </c>
      <c r="W87" s="28" t="s">
        <v>1272</v>
      </c>
      <c r="X87" s="28" t="s">
        <v>1272</v>
      </c>
      <c r="Y87" s="28" t="s">
        <v>1272</v>
      </c>
      <c r="Z87" s="28" t="s">
        <v>1272</v>
      </c>
      <c r="AA87" s="28" t="s">
        <v>1272</v>
      </c>
      <c r="AB87" s="28" t="s">
        <v>1272</v>
      </c>
      <c r="AC87" s="28" t="s">
        <v>1272</v>
      </c>
      <c r="AD87" s="28" t="s">
        <v>1272</v>
      </c>
      <c r="AE87" s="28" t="s">
        <v>1272</v>
      </c>
      <c r="AF87" s="28" t="s">
        <v>1272</v>
      </c>
      <c r="AG87" s="28" t="s">
        <v>1272</v>
      </c>
      <c r="AH87" s="28" t="s">
        <v>1272</v>
      </c>
      <c r="AI87" s="28" t="s">
        <v>1272</v>
      </c>
      <c r="AJ87" s="28" t="s">
        <v>1272</v>
      </c>
    </row>
    <row r="88" spans="1:36">
      <c r="A88" s="29" t="s">
        <v>1083</v>
      </c>
      <c r="B88" s="28" t="s">
        <v>1274</v>
      </c>
      <c r="C88" s="28" t="s">
        <v>1274</v>
      </c>
      <c r="D88" s="28" t="s">
        <v>1274</v>
      </c>
      <c r="E88" s="28" t="s">
        <v>1274</v>
      </c>
      <c r="F88" s="28" t="s">
        <v>1274</v>
      </c>
      <c r="G88" s="28" t="s">
        <v>1274</v>
      </c>
      <c r="H88" s="28" t="s">
        <v>1274</v>
      </c>
      <c r="I88" s="28" t="s">
        <v>1274</v>
      </c>
      <c r="J88" s="28" t="s">
        <v>1274</v>
      </c>
      <c r="K88" s="28" t="s">
        <v>1274</v>
      </c>
      <c r="L88" s="28" t="s">
        <v>1274</v>
      </c>
      <c r="M88" s="28" t="s">
        <v>1274</v>
      </c>
      <c r="N88" s="28" t="s">
        <v>1274</v>
      </c>
      <c r="O88" s="28" t="s">
        <v>1274</v>
      </c>
      <c r="P88" s="28" t="s">
        <v>1274</v>
      </c>
      <c r="Q88" s="28" t="s">
        <v>1274</v>
      </c>
      <c r="R88" s="28" t="s">
        <v>1274</v>
      </c>
      <c r="S88" s="28" t="s">
        <v>1274</v>
      </c>
      <c r="T88" s="28" t="s">
        <v>1274</v>
      </c>
      <c r="U88" s="28" t="s">
        <v>1274</v>
      </c>
      <c r="V88" s="28" t="s">
        <v>1274</v>
      </c>
      <c r="W88" s="28" t="s">
        <v>1274</v>
      </c>
      <c r="X88" s="28" t="s">
        <v>1274</v>
      </c>
      <c r="Y88" s="28" t="s">
        <v>1274</v>
      </c>
      <c r="Z88" s="28" t="s">
        <v>1274</v>
      </c>
      <c r="AA88" s="28" t="s">
        <v>1274</v>
      </c>
      <c r="AB88" s="28" t="s">
        <v>1274</v>
      </c>
      <c r="AC88" s="28" t="s">
        <v>1274</v>
      </c>
      <c r="AD88" s="28" t="s">
        <v>1274</v>
      </c>
      <c r="AE88" s="28" t="s">
        <v>1274</v>
      </c>
      <c r="AF88" s="28" t="s">
        <v>1274</v>
      </c>
      <c r="AG88" s="28" t="s">
        <v>1274</v>
      </c>
      <c r="AH88" s="28" t="s">
        <v>1274</v>
      </c>
      <c r="AI88" s="28" t="s">
        <v>1274</v>
      </c>
      <c r="AJ88" s="28" t="s">
        <v>1274</v>
      </c>
    </row>
    <row r="89" spans="1:36">
      <c r="A89" s="29" t="s">
        <v>1084</v>
      </c>
      <c r="B89" s="28" t="s">
        <v>1273</v>
      </c>
      <c r="C89" s="28" t="s">
        <v>1273</v>
      </c>
      <c r="D89" s="28" t="s">
        <v>1273</v>
      </c>
      <c r="E89" s="28" t="s">
        <v>1273</v>
      </c>
      <c r="F89" s="28" t="s">
        <v>1273</v>
      </c>
      <c r="G89" s="28" t="s">
        <v>1273</v>
      </c>
      <c r="H89" s="28" t="s">
        <v>1273</v>
      </c>
      <c r="I89" s="28" t="s">
        <v>1273</v>
      </c>
      <c r="J89" s="28" t="s">
        <v>1273</v>
      </c>
      <c r="K89" s="28" t="s">
        <v>1273</v>
      </c>
      <c r="L89" s="28" t="s">
        <v>1273</v>
      </c>
      <c r="M89" s="28" t="s">
        <v>1273</v>
      </c>
      <c r="N89" s="28" t="s">
        <v>1273</v>
      </c>
      <c r="O89" s="28" t="s">
        <v>1273</v>
      </c>
      <c r="P89" s="28" t="s">
        <v>1273</v>
      </c>
      <c r="Q89" s="28" t="s">
        <v>1273</v>
      </c>
      <c r="R89" s="28" t="s">
        <v>1273</v>
      </c>
      <c r="S89" s="28" t="s">
        <v>1273</v>
      </c>
      <c r="T89" s="28" t="s">
        <v>1273</v>
      </c>
      <c r="U89" s="28" t="s">
        <v>1273</v>
      </c>
      <c r="V89" s="28" t="s">
        <v>1274</v>
      </c>
      <c r="W89" s="28" t="s">
        <v>1274</v>
      </c>
      <c r="X89" s="28" t="s">
        <v>1274</v>
      </c>
      <c r="Y89" s="28" t="s">
        <v>1274</v>
      </c>
      <c r="Z89" s="28" t="s">
        <v>1274</v>
      </c>
      <c r="AA89" s="28" t="s">
        <v>1273</v>
      </c>
      <c r="AB89" s="28" t="s">
        <v>1273</v>
      </c>
      <c r="AC89" s="28" t="s">
        <v>1274</v>
      </c>
      <c r="AD89" s="28" t="s">
        <v>1274</v>
      </c>
      <c r="AE89" s="28" t="s">
        <v>1274</v>
      </c>
      <c r="AF89" s="28" t="s">
        <v>1274</v>
      </c>
      <c r="AG89" s="28" t="s">
        <v>1274</v>
      </c>
      <c r="AH89" s="28" t="s">
        <v>1274</v>
      </c>
      <c r="AI89" s="28" t="s">
        <v>1274</v>
      </c>
      <c r="AJ89" s="28" t="s">
        <v>1274</v>
      </c>
    </row>
    <row r="90" spans="1:36">
      <c r="A90" s="29" t="s">
        <v>1085</v>
      </c>
      <c r="B90" s="28" t="s">
        <v>1274</v>
      </c>
      <c r="C90" s="28" t="s">
        <v>1274</v>
      </c>
      <c r="D90" s="28" t="s">
        <v>1274</v>
      </c>
      <c r="E90" s="28" t="s">
        <v>1274</v>
      </c>
      <c r="F90" s="28" t="s">
        <v>1274</v>
      </c>
      <c r="G90" s="28" t="s">
        <v>1274</v>
      </c>
      <c r="H90" s="28" t="s">
        <v>1274</v>
      </c>
      <c r="I90" s="28" t="s">
        <v>1274</v>
      </c>
      <c r="J90" s="28" t="s">
        <v>1274</v>
      </c>
      <c r="K90" s="28" t="s">
        <v>1274</v>
      </c>
      <c r="L90" s="28" t="s">
        <v>1274</v>
      </c>
      <c r="M90" s="28" t="s">
        <v>1274</v>
      </c>
      <c r="N90" s="28" t="s">
        <v>1274</v>
      </c>
      <c r="O90" s="28" t="s">
        <v>1274</v>
      </c>
      <c r="P90" s="28" t="s">
        <v>1274</v>
      </c>
      <c r="Q90" s="28" t="s">
        <v>1274</v>
      </c>
      <c r="R90" s="28" t="s">
        <v>1274</v>
      </c>
      <c r="S90" s="28" t="s">
        <v>1274</v>
      </c>
      <c r="T90" s="28" t="s">
        <v>1274</v>
      </c>
      <c r="U90" s="28" t="s">
        <v>1274</v>
      </c>
      <c r="V90" s="28" t="s">
        <v>1274</v>
      </c>
      <c r="W90" s="28" t="s">
        <v>1274</v>
      </c>
      <c r="X90" s="28" t="s">
        <v>1274</v>
      </c>
      <c r="Y90" s="28" t="s">
        <v>1274</v>
      </c>
      <c r="Z90" s="28" t="s">
        <v>1274</v>
      </c>
      <c r="AA90" s="28" t="s">
        <v>1274</v>
      </c>
      <c r="AB90" s="28" t="s">
        <v>1274</v>
      </c>
      <c r="AC90" s="28" t="s">
        <v>1274</v>
      </c>
      <c r="AD90" s="28" t="s">
        <v>1274</v>
      </c>
      <c r="AE90" s="28" t="s">
        <v>1274</v>
      </c>
      <c r="AF90" s="28" t="s">
        <v>1274</v>
      </c>
      <c r="AG90" s="28" t="s">
        <v>1274</v>
      </c>
      <c r="AH90" s="28" t="s">
        <v>1274</v>
      </c>
      <c r="AI90" s="28" t="s">
        <v>1274</v>
      </c>
      <c r="AJ90" s="28" t="s">
        <v>1274</v>
      </c>
    </row>
    <row r="91" spans="1:36">
      <c r="A91" s="29" t="s">
        <v>245</v>
      </c>
      <c r="B91" s="28" t="s">
        <v>1271</v>
      </c>
      <c r="C91" s="28" t="s">
        <v>1271</v>
      </c>
      <c r="D91" s="28" t="s">
        <v>1271</v>
      </c>
      <c r="E91" s="28" t="s">
        <v>1271</v>
      </c>
      <c r="F91" s="28" t="s">
        <v>1271</v>
      </c>
      <c r="G91" s="28" t="s">
        <v>1271</v>
      </c>
      <c r="H91" s="28" t="s">
        <v>1271</v>
      </c>
      <c r="I91" s="28" t="s">
        <v>1271</v>
      </c>
      <c r="J91" s="28" t="s">
        <v>1271</v>
      </c>
      <c r="K91" s="28" t="s">
        <v>1271</v>
      </c>
      <c r="L91" s="28" t="s">
        <v>1271</v>
      </c>
      <c r="M91" s="28" t="s">
        <v>1271</v>
      </c>
      <c r="N91" s="28" t="s">
        <v>1271</v>
      </c>
      <c r="O91" s="28" t="s">
        <v>1271</v>
      </c>
      <c r="P91" s="28" t="s">
        <v>1271</v>
      </c>
      <c r="Q91" s="28" t="s">
        <v>1271</v>
      </c>
      <c r="R91" s="28" t="s">
        <v>1271</v>
      </c>
      <c r="S91" s="28" t="s">
        <v>1271</v>
      </c>
      <c r="T91" s="28" t="s">
        <v>1271</v>
      </c>
      <c r="U91" s="28" t="s">
        <v>1271</v>
      </c>
      <c r="V91" s="28" t="s">
        <v>1272</v>
      </c>
      <c r="W91" s="28" t="s">
        <v>1272</v>
      </c>
      <c r="X91" s="28" t="s">
        <v>1272</v>
      </c>
      <c r="Y91" s="28" t="s">
        <v>1272</v>
      </c>
      <c r="Z91" s="28" t="s">
        <v>1272</v>
      </c>
      <c r="AA91" s="28" t="s">
        <v>1272</v>
      </c>
      <c r="AB91" s="28" t="s">
        <v>1272</v>
      </c>
      <c r="AC91" s="28" t="s">
        <v>1272</v>
      </c>
      <c r="AD91" s="28" t="s">
        <v>1272</v>
      </c>
      <c r="AE91" s="28" t="s">
        <v>1272</v>
      </c>
      <c r="AF91" s="28" t="s">
        <v>1272</v>
      </c>
      <c r="AG91" s="28" t="s">
        <v>1272</v>
      </c>
      <c r="AH91" s="28" t="s">
        <v>1272</v>
      </c>
      <c r="AI91" s="28" t="s">
        <v>1272</v>
      </c>
      <c r="AJ91" s="28" t="s">
        <v>1272</v>
      </c>
    </row>
    <row r="92" spans="1:36">
      <c r="A92" s="29" t="s">
        <v>602</v>
      </c>
      <c r="B92" s="28" t="s">
        <v>1271</v>
      </c>
      <c r="C92" s="28" t="s">
        <v>1271</v>
      </c>
      <c r="D92" s="28" t="s">
        <v>1271</v>
      </c>
      <c r="E92" s="28" t="s">
        <v>1271</v>
      </c>
      <c r="F92" s="28" t="s">
        <v>1271</v>
      </c>
      <c r="G92" s="28" t="s">
        <v>1271</v>
      </c>
      <c r="H92" s="28" t="s">
        <v>1272</v>
      </c>
      <c r="I92" s="28" t="s">
        <v>1272</v>
      </c>
      <c r="J92" s="28" t="s">
        <v>1272</v>
      </c>
      <c r="K92" s="28" t="s">
        <v>1272</v>
      </c>
      <c r="L92" s="28" t="s">
        <v>1272</v>
      </c>
      <c r="M92" s="28" t="s">
        <v>1271</v>
      </c>
      <c r="N92" s="28" t="s">
        <v>1271</v>
      </c>
      <c r="O92" s="28" t="s">
        <v>1271</v>
      </c>
      <c r="P92" s="28" t="s">
        <v>1271</v>
      </c>
      <c r="Q92" s="28" t="s">
        <v>1271</v>
      </c>
      <c r="R92" s="28" t="s">
        <v>1272</v>
      </c>
      <c r="S92" s="28" t="s">
        <v>1272</v>
      </c>
      <c r="T92" s="28" t="s">
        <v>1272</v>
      </c>
      <c r="U92" s="28" t="s">
        <v>1272</v>
      </c>
      <c r="V92" s="28" t="s">
        <v>1272</v>
      </c>
      <c r="W92" s="28" t="s">
        <v>1272</v>
      </c>
      <c r="X92" s="28" t="s">
        <v>1272</v>
      </c>
      <c r="Y92" s="28" t="s">
        <v>1272</v>
      </c>
      <c r="Z92" s="28" t="s">
        <v>1272</v>
      </c>
      <c r="AA92" s="28" t="s">
        <v>1272</v>
      </c>
      <c r="AB92" s="28" t="s">
        <v>1272</v>
      </c>
      <c r="AC92" s="28" t="s">
        <v>1272</v>
      </c>
      <c r="AD92" s="28" t="s">
        <v>1272</v>
      </c>
      <c r="AE92" s="28" t="s">
        <v>1272</v>
      </c>
      <c r="AF92" s="28" t="s">
        <v>1272</v>
      </c>
      <c r="AG92" s="28" t="s">
        <v>1272</v>
      </c>
      <c r="AH92" s="28" t="s">
        <v>1273</v>
      </c>
      <c r="AI92" s="28" t="s">
        <v>1272</v>
      </c>
      <c r="AJ92" s="28" t="s">
        <v>1272</v>
      </c>
    </row>
    <row r="93" spans="1:36">
      <c r="A93" s="29" t="s">
        <v>443</v>
      </c>
      <c r="B93" s="28" t="s">
        <v>1273</v>
      </c>
      <c r="C93" s="28" t="s">
        <v>1273</v>
      </c>
      <c r="D93" s="28" t="s">
        <v>1273</v>
      </c>
      <c r="E93" s="28" t="s">
        <v>1272</v>
      </c>
      <c r="F93" s="28" t="s">
        <v>1272</v>
      </c>
      <c r="G93" s="28" t="s">
        <v>1272</v>
      </c>
      <c r="H93" s="28" t="s">
        <v>1272</v>
      </c>
      <c r="I93" s="28" t="s">
        <v>1272</v>
      </c>
      <c r="J93" s="28" t="s">
        <v>1272</v>
      </c>
      <c r="K93" s="28" t="s">
        <v>1272</v>
      </c>
      <c r="L93" s="28" t="s">
        <v>1272</v>
      </c>
      <c r="M93" s="28" t="s">
        <v>1272</v>
      </c>
      <c r="N93" s="28" t="s">
        <v>1272</v>
      </c>
      <c r="O93" s="28" t="s">
        <v>1272</v>
      </c>
      <c r="P93" s="28" t="s">
        <v>1272</v>
      </c>
      <c r="Q93" s="28" t="s">
        <v>1272</v>
      </c>
      <c r="R93" s="28" t="s">
        <v>1272</v>
      </c>
      <c r="S93" s="28" t="s">
        <v>1272</v>
      </c>
      <c r="T93" s="28" t="s">
        <v>1272</v>
      </c>
      <c r="U93" s="28" t="s">
        <v>1272</v>
      </c>
      <c r="V93" s="28" t="s">
        <v>1272</v>
      </c>
      <c r="W93" s="28" t="s">
        <v>1272</v>
      </c>
      <c r="X93" s="28" t="s">
        <v>1273</v>
      </c>
      <c r="Y93" s="28" t="s">
        <v>1273</v>
      </c>
      <c r="Z93" s="28" t="s">
        <v>1273</v>
      </c>
      <c r="AA93" s="28" t="s">
        <v>1273</v>
      </c>
      <c r="AB93" s="28" t="s">
        <v>1273</v>
      </c>
      <c r="AC93" s="28" t="s">
        <v>1273</v>
      </c>
      <c r="AD93" s="28" t="s">
        <v>1273</v>
      </c>
      <c r="AE93" s="28" t="s">
        <v>1273</v>
      </c>
      <c r="AF93" s="28" t="s">
        <v>1273</v>
      </c>
      <c r="AG93" s="28" t="s">
        <v>1273</v>
      </c>
      <c r="AH93" s="28" t="s">
        <v>1273</v>
      </c>
      <c r="AI93" s="28" t="s">
        <v>1272</v>
      </c>
      <c r="AJ93" s="28" t="s">
        <v>1272</v>
      </c>
    </row>
    <row r="94" spans="1:36">
      <c r="A94" s="29" t="s">
        <v>1089</v>
      </c>
      <c r="B94" s="28" t="s">
        <v>1273</v>
      </c>
      <c r="C94" s="28" t="s">
        <v>1273</v>
      </c>
      <c r="D94" s="28" t="s">
        <v>1273</v>
      </c>
      <c r="E94" s="28" t="s">
        <v>1273</v>
      </c>
      <c r="F94" s="28" t="s">
        <v>1272</v>
      </c>
      <c r="G94" s="28" t="s">
        <v>1272</v>
      </c>
      <c r="H94" s="28" t="s">
        <v>1272</v>
      </c>
      <c r="I94" s="28" t="s">
        <v>1272</v>
      </c>
      <c r="J94" s="28" t="s">
        <v>1272</v>
      </c>
      <c r="K94" s="28" t="s">
        <v>1272</v>
      </c>
      <c r="L94" s="28" t="s">
        <v>1272</v>
      </c>
      <c r="M94" s="28" t="s">
        <v>1272</v>
      </c>
      <c r="N94" s="28" t="s">
        <v>1272</v>
      </c>
      <c r="O94" s="28" t="s">
        <v>1272</v>
      </c>
      <c r="P94" s="28" t="s">
        <v>1272</v>
      </c>
      <c r="Q94" s="28" t="s">
        <v>1272</v>
      </c>
      <c r="R94" s="28" t="s">
        <v>1272</v>
      </c>
      <c r="S94" s="28" t="s">
        <v>1272</v>
      </c>
      <c r="T94" s="28" t="s">
        <v>1272</v>
      </c>
      <c r="U94" s="28" t="s">
        <v>1272</v>
      </c>
      <c r="V94" s="28" t="s">
        <v>1272</v>
      </c>
      <c r="W94" s="28" t="s">
        <v>1272</v>
      </c>
      <c r="X94" s="28" t="s">
        <v>1272</v>
      </c>
      <c r="Y94" s="28" t="s">
        <v>1272</v>
      </c>
      <c r="Z94" s="28" t="s">
        <v>1272</v>
      </c>
      <c r="AA94" s="28" t="s">
        <v>1273</v>
      </c>
      <c r="AB94" s="28" t="s">
        <v>1273</v>
      </c>
      <c r="AC94" s="28" t="s">
        <v>1273</v>
      </c>
      <c r="AD94" s="28" t="s">
        <v>1273</v>
      </c>
      <c r="AE94" s="28" t="s">
        <v>1273</v>
      </c>
      <c r="AF94" s="28" t="s">
        <v>1273</v>
      </c>
      <c r="AG94" s="28" t="s">
        <v>1273</v>
      </c>
      <c r="AH94" s="28" t="s">
        <v>1273</v>
      </c>
      <c r="AI94" s="28" t="s">
        <v>1273</v>
      </c>
      <c r="AJ94" s="28" t="s">
        <v>1273</v>
      </c>
    </row>
    <row r="95" spans="1:36">
      <c r="A95" s="29" t="s">
        <v>1091</v>
      </c>
      <c r="B95" s="28" t="s">
        <v>1274</v>
      </c>
      <c r="C95" s="28" t="s">
        <v>1274</v>
      </c>
      <c r="D95" s="28" t="s">
        <v>1274</v>
      </c>
      <c r="E95" s="28" t="s">
        <v>1274</v>
      </c>
      <c r="F95" s="28" t="s">
        <v>1274</v>
      </c>
      <c r="G95" s="28" t="s">
        <v>1274</v>
      </c>
      <c r="H95" s="28" t="s">
        <v>1274</v>
      </c>
      <c r="I95" s="28" t="s">
        <v>1274</v>
      </c>
      <c r="J95" s="28" t="s">
        <v>1274</v>
      </c>
      <c r="K95" s="28" t="s">
        <v>1274</v>
      </c>
      <c r="L95" s="28" t="s">
        <v>1274</v>
      </c>
      <c r="M95" s="28" t="s">
        <v>1274</v>
      </c>
      <c r="N95" s="28" t="s">
        <v>1274</v>
      </c>
      <c r="O95" s="28" t="s">
        <v>1274</v>
      </c>
      <c r="P95" s="28" t="s">
        <v>1274</v>
      </c>
      <c r="Q95" s="28" t="s">
        <v>1274</v>
      </c>
      <c r="R95" s="28" t="s">
        <v>1274</v>
      </c>
      <c r="S95" s="28" t="s">
        <v>1274</v>
      </c>
      <c r="T95" s="28" t="s">
        <v>1274</v>
      </c>
      <c r="U95" s="28" t="s">
        <v>1274</v>
      </c>
      <c r="V95" s="28" t="s">
        <v>1274</v>
      </c>
      <c r="W95" s="28" t="s">
        <v>1274</v>
      </c>
      <c r="X95" s="28" t="s">
        <v>1274</v>
      </c>
      <c r="Y95" s="28" t="s">
        <v>1274</v>
      </c>
      <c r="Z95" s="28" t="s">
        <v>1274</v>
      </c>
      <c r="AA95" s="28" t="s">
        <v>1274</v>
      </c>
      <c r="AB95" s="28" t="s">
        <v>1274</v>
      </c>
      <c r="AC95" s="28" t="s">
        <v>1274</v>
      </c>
      <c r="AD95" s="28" t="s">
        <v>1274</v>
      </c>
      <c r="AE95" s="28" t="s">
        <v>1274</v>
      </c>
      <c r="AF95" s="28" t="s">
        <v>1274</v>
      </c>
      <c r="AG95" s="28" t="s">
        <v>1274</v>
      </c>
      <c r="AH95" s="28" t="s">
        <v>1274</v>
      </c>
      <c r="AI95" s="28" t="s">
        <v>1274</v>
      </c>
      <c r="AJ95" s="28" t="s">
        <v>1274</v>
      </c>
    </row>
    <row r="96" spans="1:36">
      <c r="A96" s="29" t="s">
        <v>1180</v>
      </c>
      <c r="B96" s="28" t="s">
        <v>1274</v>
      </c>
      <c r="C96" s="28" t="s">
        <v>1274</v>
      </c>
      <c r="D96" s="28" t="s">
        <v>1274</v>
      </c>
      <c r="E96" s="28" t="s">
        <v>1273</v>
      </c>
      <c r="F96" s="28" t="s">
        <v>1273</v>
      </c>
      <c r="G96" s="28" t="s">
        <v>1273</v>
      </c>
      <c r="H96" s="28" t="s">
        <v>1273</v>
      </c>
      <c r="I96" s="28" t="s">
        <v>1273</v>
      </c>
      <c r="J96" s="28" t="s">
        <v>1273</v>
      </c>
      <c r="K96" s="28" t="s">
        <v>1273</v>
      </c>
      <c r="L96" s="28" t="s">
        <v>1273</v>
      </c>
      <c r="M96" s="28" t="s">
        <v>1273</v>
      </c>
      <c r="N96" s="28" t="s">
        <v>1273</v>
      </c>
      <c r="O96" s="28" t="s">
        <v>1273</v>
      </c>
      <c r="P96" s="28" t="s">
        <v>1273</v>
      </c>
      <c r="Q96" s="28" t="s">
        <v>1274</v>
      </c>
      <c r="R96" s="28" t="s">
        <v>1274</v>
      </c>
      <c r="S96" s="28" t="s">
        <v>1274</v>
      </c>
      <c r="T96" s="28" t="s">
        <v>1274</v>
      </c>
      <c r="U96" s="28" t="s">
        <v>1274</v>
      </c>
      <c r="V96" s="28" t="s">
        <v>1274</v>
      </c>
      <c r="W96" s="28" t="s">
        <v>1274</v>
      </c>
      <c r="X96" s="28" t="s">
        <v>1274</v>
      </c>
      <c r="Y96" s="28" t="s">
        <v>1274</v>
      </c>
      <c r="Z96" s="28" t="s">
        <v>1274</v>
      </c>
      <c r="AA96" s="28" t="s">
        <v>1274</v>
      </c>
      <c r="AB96" s="28" t="s">
        <v>1274</v>
      </c>
      <c r="AC96" s="28" t="s">
        <v>1274</v>
      </c>
      <c r="AD96" s="28" t="s">
        <v>1274</v>
      </c>
      <c r="AE96" s="28" t="s">
        <v>1274</v>
      </c>
      <c r="AF96" s="28" t="s">
        <v>1274</v>
      </c>
      <c r="AG96" s="28" t="s">
        <v>1274</v>
      </c>
      <c r="AH96" s="28" t="s">
        <v>1274</v>
      </c>
      <c r="AI96" s="28" t="s">
        <v>1274</v>
      </c>
      <c r="AJ96" s="28" t="s">
        <v>1274</v>
      </c>
    </row>
    <row r="97" spans="1:36">
      <c r="A97" s="29" t="s">
        <v>1093</v>
      </c>
      <c r="B97" s="28" t="s">
        <v>1274</v>
      </c>
      <c r="C97" s="28" t="s">
        <v>1274</v>
      </c>
      <c r="D97" s="28" t="s">
        <v>1274</v>
      </c>
      <c r="E97" s="28" t="s">
        <v>1274</v>
      </c>
      <c r="F97" s="28" t="s">
        <v>1274</v>
      </c>
      <c r="G97" s="28" t="s">
        <v>1274</v>
      </c>
      <c r="H97" s="28" t="s">
        <v>1274</v>
      </c>
      <c r="I97" s="28" t="s">
        <v>1274</v>
      </c>
      <c r="J97" s="28" t="s">
        <v>1274</v>
      </c>
      <c r="K97" s="28" t="s">
        <v>1274</v>
      </c>
      <c r="L97" s="28" t="s">
        <v>1274</v>
      </c>
      <c r="M97" s="28" t="s">
        <v>1274</v>
      </c>
      <c r="N97" s="28" t="s">
        <v>1274</v>
      </c>
      <c r="O97" s="28" t="s">
        <v>1274</v>
      </c>
      <c r="P97" s="28" t="s">
        <v>1274</v>
      </c>
      <c r="Q97" s="28" t="s">
        <v>1274</v>
      </c>
      <c r="R97" s="28" t="s">
        <v>1274</v>
      </c>
      <c r="S97" s="28" t="s">
        <v>1274</v>
      </c>
      <c r="T97" s="28" t="s">
        <v>1274</v>
      </c>
      <c r="U97" s="28" t="s">
        <v>1274</v>
      </c>
      <c r="V97" s="28" t="s">
        <v>1274</v>
      </c>
      <c r="W97" s="28" t="s">
        <v>1274</v>
      </c>
      <c r="X97" s="28" t="s">
        <v>1274</v>
      </c>
      <c r="Y97" s="28" t="s">
        <v>1274</v>
      </c>
      <c r="Z97" s="28" t="s">
        <v>1274</v>
      </c>
      <c r="AA97" s="28" t="s">
        <v>1274</v>
      </c>
      <c r="AB97" s="28" t="s">
        <v>1274</v>
      </c>
      <c r="AC97" s="28" t="s">
        <v>1274</v>
      </c>
      <c r="AD97" s="28" t="s">
        <v>1274</v>
      </c>
      <c r="AE97" s="28" t="s">
        <v>1274</v>
      </c>
      <c r="AF97" s="28" t="s">
        <v>1274</v>
      </c>
      <c r="AG97" s="28" t="s">
        <v>1274</v>
      </c>
      <c r="AH97" s="28" t="s">
        <v>1274</v>
      </c>
      <c r="AI97" s="28" t="s">
        <v>1274</v>
      </c>
      <c r="AJ97" s="28" t="s">
        <v>1274</v>
      </c>
    </row>
    <row r="98" spans="1:36">
      <c r="A98" s="29" t="s">
        <v>1095</v>
      </c>
      <c r="B98" s="28" t="s">
        <v>1274</v>
      </c>
      <c r="C98" s="28" t="s">
        <v>1274</v>
      </c>
      <c r="D98" s="28" t="s">
        <v>1274</v>
      </c>
      <c r="E98" s="28" t="s">
        <v>1274</v>
      </c>
      <c r="F98" s="28" t="s">
        <v>1274</v>
      </c>
      <c r="G98" s="28" t="s">
        <v>1274</v>
      </c>
      <c r="H98" s="28" t="s">
        <v>1274</v>
      </c>
      <c r="I98" s="28" t="s">
        <v>1274</v>
      </c>
      <c r="J98" s="28" t="s">
        <v>1274</v>
      </c>
      <c r="K98" s="28" t="s">
        <v>1274</v>
      </c>
      <c r="L98" s="28" t="s">
        <v>1274</v>
      </c>
      <c r="M98" s="28" t="s">
        <v>1274</v>
      </c>
      <c r="N98" s="28" t="s">
        <v>1274</v>
      </c>
      <c r="O98" s="28" t="s">
        <v>1274</v>
      </c>
      <c r="P98" s="28" t="s">
        <v>1274</v>
      </c>
      <c r="Q98" s="28" t="s">
        <v>1274</v>
      </c>
      <c r="R98" s="28" t="s">
        <v>1274</v>
      </c>
      <c r="S98" s="28" t="s">
        <v>1274</v>
      </c>
      <c r="T98" s="28" t="s">
        <v>1274</v>
      </c>
      <c r="U98" s="28" t="s">
        <v>1274</v>
      </c>
      <c r="V98" s="28" t="s">
        <v>1274</v>
      </c>
      <c r="W98" s="28" t="s">
        <v>1274</v>
      </c>
      <c r="X98" s="28" t="s">
        <v>1274</v>
      </c>
      <c r="Y98" s="28" t="s">
        <v>1274</v>
      </c>
      <c r="Z98" s="28" t="s">
        <v>1274</v>
      </c>
      <c r="AA98" s="28" t="s">
        <v>1274</v>
      </c>
      <c r="AB98" s="28" t="s">
        <v>1274</v>
      </c>
      <c r="AC98" s="28" t="s">
        <v>1274</v>
      </c>
      <c r="AD98" s="28" t="s">
        <v>1274</v>
      </c>
      <c r="AE98" s="28" t="s">
        <v>1274</v>
      </c>
      <c r="AF98" s="28" t="s">
        <v>1274</v>
      </c>
      <c r="AG98" s="28" t="s">
        <v>1274</v>
      </c>
      <c r="AH98" s="28" t="s">
        <v>1274</v>
      </c>
      <c r="AI98" s="28" t="s">
        <v>1274</v>
      </c>
      <c r="AJ98" s="28" t="s">
        <v>1274</v>
      </c>
    </row>
    <row r="99" spans="1:36">
      <c r="A99" s="29" t="s">
        <v>1052</v>
      </c>
      <c r="B99" s="28" t="s">
        <v>1272</v>
      </c>
      <c r="C99" s="28" t="s">
        <v>1272</v>
      </c>
      <c r="D99" s="28" t="s">
        <v>1272</v>
      </c>
      <c r="E99" s="28" t="s">
        <v>1272</v>
      </c>
      <c r="F99" s="28" t="s">
        <v>1272</v>
      </c>
      <c r="G99" s="28" t="s">
        <v>1272</v>
      </c>
      <c r="H99" s="28" t="s">
        <v>1272</v>
      </c>
      <c r="I99" s="28" t="s">
        <v>1272</v>
      </c>
      <c r="J99" s="28" t="s">
        <v>1272</v>
      </c>
      <c r="K99" s="28" t="s">
        <v>1272</v>
      </c>
      <c r="L99" s="28" t="s">
        <v>1272</v>
      </c>
      <c r="M99" s="28" t="s">
        <v>1272</v>
      </c>
      <c r="N99" s="28" t="s">
        <v>1272</v>
      </c>
      <c r="O99" s="28" t="s">
        <v>1272</v>
      </c>
      <c r="P99" s="28" t="s">
        <v>1272</v>
      </c>
      <c r="Q99" s="28" t="s">
        <v>1272</v>
      </c>
      <c r="R99" s="28" t="s">
        <v>1272</v>
      </c>
      <c r="S99" s="28" t="s">
        <v>1272</v>
      </c>
      <c r="T99" s="28" t="s">
        <v>1272</v>
      </c>
      <c r="U99" s="28" t="s">
        <v>1272</v>
      </c>
      <c r="V99" s="28" t="s">
        <v>1273</v>
      </c>
      <c r="W99" s="28" t="s">
        <v>1273</v>
      </c>
      <c r="X99" s="28" t="s">
        <v>1273</v>
      </c>
      <c r="Y99" s="28" t="s">
        <v>1273</v>
      </c>
      <c r="Z99" s="28" t="s">
        <v>1273</v>
      </c>
      <c r="AA99" s="28" t="s">
        <v>1273</v>
      </c>
      <c r="AB99" s="28" t="s">
        <v>1273</v>
      </c>
      <c r="AC99" s="28" t="s">
        <v>1273</v>
      </c>
      <c r="AD99" s="28" t="s">
        <v>1273</v>
      </c>
      <c r="AE99" s="28" t="s">
        <v>1273</v>
      </c>
      <c r="AF99" s="28" t="s">
        <v>1273</v>
      </c>
      <c r="AG99" s="28" t="s">
        <v>1273</v>
      </c>
      <c r="AH99" s="28" t="s">
        <v>1273</v>
      </c>
      <c r="AI99" s="28" t="s">
        <v>1273</v>
      </c>
      <c r="AJ99" s="28" t="s">
        <v>1273</v>
      </c>
    </row>
    <row r="100" spans="1:36">
      <c r="A100" s="29" t="s">
        <v>1098</v>
      </c>
      <c r="B100" s="28" t="s">
        <v>1274</v>
      </c>
      <c r="C100" s="28" t="s">
        <v>1274</v>
      </c>
      <c r="D100" s="28" t="s">
        <v>1274</v>
      </c>
      <c r="E100" s="28" t="s">
        <v>1274</v>
      </c>
      <c r="F100" s="28" t="s">
        <v>1274</v>
      </c>
      <c r="G100" s="28" t="s">
        <v>1274</v>
      </c>
      <c r="H100" s="28" t="s">
        <v>1274</v>
      </c>
      <c r="I100" s="28" t="s">
        <v>1274</v>
      </c>
      <c r="J100" s="28" t="s">
        <v>1274</v>
      </c>
      <c r="K100" s="28" t="s">
        <v>1274</v>
      </c>
      <c r="L100" s="28" t="s">
        <v>1274</v>
      </c>
      <c r="M100" s="28" t="s">
        <v>1274</v>
      </c>
      <c r="N100" s="28" t="s">
        <v>1274</v>
      </c>
      <c r="O100" s="28" t="s">
        <v>1274</v>
      </c>
      <c r="P100" s="28" t="s">
        <v>1274</v>
      </c>
      <c r="Q100" s="28" t="s">
        <v>1274</v>
      </c>
      <c r="R100" s="28" t="s">
        <v>1274</v>
      </c>
      <c r="S100" s="28" t="s">
        <v>1274</v>
      </c>
      <c r="T100" s="28" t="s">
        <v>1274</v>
      </c>
      <c r="U100" s="28" t="s">
        <v>1274</v>
      </c>
      <c r="V100" s="28" t="s">
        <v>1274</v>
      </c>
      <c r="W100" s="28" t="s">
        <v>1274</v>
      </c>
      <c r="X100" s="28" t="s">
        <v>1274</v>
      </c>
      <c r="Y100" s="28" t="s">
        <v>1274</v>
      </c>
      <c r="Z100" s="28" t="s">
        <v>1274</v>
      </c>
      <c r="AA100" s="28" t="s">
        <v>1274</v>
      </c>
      <c r="AB100" s="28" t="s">
        <v>1274</v>
      </c>
      <c r="AC100" s="28" t="s">
        <v>1274</v>
      </c>
      <c r="AD100" s="28" t="s">
        <v>1274</v>
      </c>
      <c r="AE100" s="28" t="s">
        <v>1274</v>
      </c>
      <c r="AF100" s="28" t="s">
        <v>1274</v>
      </c>
      <c r="AG100" s="28" t="s">
        <v>1274</v>
      </c>
      <c r="AH100" s="28" t="s">
        <v>1274</v>
      </c>
      <c r="AI100" s="28" t="s">
        <v>1274</v>
      </c>
      <c r="AJ100" s="28" t="s">
        <v>1274</v>
      </c>
    </row>
    <row r="101" spans="1:36">
      <c r="A101" s="29" t="s">
        <v>1054</v>
      </c>
      <c r="B101" s="28" t="s">
        <v>1272</v>
      </c>
      <c r="C101" s="28" t="s">
        <v>1272</v>
      </c>
      <c r="D101" s="28" t="s">
        <v>1272</v>
      </c>
      <c r="E101" s="28" t="s">
        <v>1272</v>
      </c>
      <c r="F101" s="28" t="s">
        <v>1272</v>
      </c>
      <c r="G101" s="28" t="s">
        <v>1272</v>
      </c>
      <c r="H101" s="28" t="s">
        <v>1272</v>
      </c>
      <c r="I101" s="28" t="s">
        <v>1272</v>
      </c>
      <c r="J101" s="28" t="s">
        <v>1272</v>
      </c>
      <c r="K101" s="28" t="s">
        <v>1272</v>
      </c>
      <c r="L101" s="28" t="s">
        <v>1272</v>
      </c>
      <c r="M101" s="28" t="s">
        <v>1272</v>
      </c>
      <c r="N101" s="28" t="s">
        <v>1272</v>
      </c>
      <c r="O101" s="28" t="s">
        <v>1272</v>
      </c>
      <c r="P101" s="28" t="s">
        <v>1272</v>
      </c>
      <c r="Q101" s="28" t="s">
        <v>1272</v>
      </c>
      <c r="R101" s="28" t="s">
        <v>1272</v>
      </c>
      <c r="S101" s="28" t="s">
        <v>1272</v>
      </c>
      <c r="T101" s="28" t="s">
        <v>1272</v>
      </c>
      <c r="U101" s="28" t="s">
        <v>1272</v>
      </c>
      <c r="V101" s="28" t="s">
        <v>1272</v>
      </c>
      <c r="W101" s="28" t="s">
        <v>1272</v>
      </c>
      <c r="X101" s="28" t="s">
        <v>1272</v>
      </c>
      <c r="Y101" s="28" t="s">
        <v>1273</v>
      </c>
      <c r="Z101" s="28" t="s">
        <v>1273</v>
      </c>
      <c r="AA101" s="28" t="s">
        <v>1273</v>
      </c>
      <c r="AB101" s="28" t="s">
        <v>1273</v>
      </c>
      <c r="AC101" s="28" t="s">
        <v>1273</v>
      </c>
      <c r="AD101" s="28" t="s">
        <v>1273</v>
      </c>
      <c r="AE101" s="28" t="s">
        <v>1272</v>
      </c>
      <c r="AF101" s="28" t="s">
        <v>1273</v>
      </c>
      <c r="AG101" s="28" t="s">
        <v>1273</v>
      </c>
      <c r="AH101" s="28" t="s">
        <v>1273</v>
      </c>
      <c r="AI101" s="28" t="s">
        <v>1273</v>
      </c>
      <c r="AJ101" s="28" t="s">
        <v>1273</v>
      </c>
    </row>
    <row r="102" spans="1:36">
      <c r="A102" s="29" t="s">
        <v>1055</v>
      </c>
      <c r="B102" s="28" t="s">
        <v>1210</v>
      </c>
      <c r="C102" s="28" t="s">
        <v>1210</v>
      </c>
      <c r="D102" s="28" t="s">
        <v>1210</v>
      </c>
      <c r="E102" s="28" t="s">
        <v>1210</v>
      </c>
      <c r="F102" s="28" t="s">
        <v>1272</v>
      </c>
      <c r="G102" s="28" t="s">
        <v>1272</v>
      </c>
      <c r="H102" s="28" t="s">
        <v>1272</v>
      </c>
      <c r="I102" s="28" t="s">
        <v>1272</v>
      </c>
      <c r="J102" s="28" t="s">
        <v>1272</v>
      </c>
      <c r="K102" s="28" t="s">
        <v>1272</v>
      </c>
      <c r="L102" s="28" t="s">
        <v>1272</v>
      </c>
      <c r="M102" s="28" t="s">
        <v>1272</v>
      </c>
      <c r="N102" s="28" t="s">
        <v>1272</v>
      </c>
      <c r="O102" s="28" t="s">
        <v>1272</v>
      </c>
      <c r="P102" s="28" t="s">
        <v>1272</v>
      </c>
      <c r="Q102" s="28" t="s">
        <v>1272</v>
      </c>
      <c r="R102" s="28" t="s">
        <v>1272</v>
      </c>
      <c r="S102" s="28" t="s">
        <v>1272</v>
      </c>
      <c r="T102" s="28" t="s">
        <v>1272</v>
      </c>
      <c r="U102" s="28" t="s">
        <v>1273</v>
      </c>
      <c r="V102" s="28" t="s">
        <v>1273</v>
      </c>
      <c r="W102" s="28" t="s">
        <v>1273</v>
      </c>
      <c r="X102" s="28" t="s">
        <v>1273</v>
      </c>
      <c r="Y102" s="28" t="s">
        <v>1273</v>
      </c>
      <c r="Z102" s="28" t="s">
        <v>1273</v>
      </c>
      <c r="AA102" s="28" t="s">
        <v>1273</v>
      </c>
      <c r="AB102" s="28" t="s">
        <v>1273</v>
      </c>
      <c r="AC102" s="28" t="s">
        <v>1273</v>
      </c>
      <c r="AD102" s="28" t="s">
        <v>1273</v>
      </c>
      <c r="AE102" s="28" t="s">
        <v>1273</v>
      </c>
      <c r="AF102" s="28" t="s">
        <v>1273</v>
      </c>
      <c r="AG102" s="28" t="s">
        <v>1273</v>
      </c>
      <c r="AH102" s="28" t="s">
        <v>1273</v>
      </c>
      <c r="AI102" s="28" t="s">
        <v>1273</v>
      </c>
      <c r="AJ102" s="28" t="s">
        <v>1273</v>
      </c>
    </row>
    <row r="103" spans="1:36">
      <c r="A103" s="29" t="s">
        <v>382</v>
      </c>
      <c r="B103" s="28" t="s">
        <v>1271</v>
      </c>
      <c r="C103" s="28" t="s">
        <v>1271</v>
      </c>
      <c r="D103" s="28" t="s">
        <v>1271</v>
      </c>
      <c r="E103" s="28" t="s">
        <v>1271</v>
      </c>
      <c r="F103" s="28" t="s">
        <v>1271</v>
      </c>
      <c r="G103" s="28" t="s">
        <v>1271</v>
      </c>
      <c r="H103" s="28" t="s">
        <v>1271</v>
      </c>
      <c r="I103" s="28" t="s">
        <v>1271</v>
      </c>
      <c r="J103" s="28" t="s">
        <v>1271</v>
      </c>
      <c r="K103" s="28" t="s">
        <v>1271</v>
      </c>
      <c r="L103" s="28" t="s">
        <v>1271</v>
      </c>
      <c r="M103" s="28" t="s">
        <v>1271</v>
      </c>
      <c r="N103" s="28" t="s">
        <v>1271</v>
      </c>
      <c r="O103" s="28" t="s">
        <v>1271</v>
      </c>
      <c r="P103" s="28" t="s">
        <v>1271</v>
      </c>
      <c r="Q103" s="28" t="s">
        <v>1271</v>
      </c>
      <c r="R103" s="28" t="s">
        <v>1271</v>
      </c>
      <c r="S103" s="28" t="s">
        <v>1271</v>
      </c>
      <c r="T103" s="28" t="s">
        <v>1271</v>
      </c>
      <c r="U103" s="28" t="s">
        <v>1271</v>
      </c>
      <c r="V103" s="28" t="s">
        <v>1271</v>
      </c>
      <c r="W103" s="28" t="s">
        <v>1271</v>
      </c>
      <c r="X103" s="28" t="s">
        <v>1271</v>
      </c>
      <c r="Y103" s="28" t="s">
        <v>1271</v>
      </c>
      <c r="Z103" s="28" t="s">
        <v>1271</v>
      </c>
      <c r="AA103" s="28" t="s">
        <v>1271</v>
      </c>
      <c r="AB103" s="28" t="s">
        <v>1271</v>
      </c>
      <c r="AC103" s="28" t="s">
        <v>1272</v>
      </c>
      <c r="AD103" s="28" t="s">
        <v>1272</v>
      </c>
      <c r="AE103" s="28" t="s">
        <v>1272</v>
      </c>
      <c r="AF103" s="28" t="s">
        <v>1272</v>
      </c>
      <c r="AG103" s="28" t="s">
        <v>1272</v>
      </c>
      <c r="AH103" s="28" t="s">
        <v>1272</v>
      </c>
      <c r="AI103" s="28" t="s">
        <v>1272</v>
      </c>
      <c r="AJ103" s="28" t="s">
        <v>1272</v>
      </c>
    </row>
    <row r="104" spans="1:36">
      <c r="A104" s="29" t="s">
        <v>1102</v>
      </c>
      <c r="B104" s="28" t="s">
        <v>1272</v>
      </c>
      <c r="C104" s="28" t="s">
        <v>1272</v>
      </c>
      <c r="D104" s="28" t="s">
        <v>1272</v>
      </c>
      <c r="E104" s="28" t="s">
        <v>1272</v>
      </c>
      <c r="F104" s="28" t="s">
        <v>1272</v>
      </c>
      <c r="G104" s="28" t="s">
        <v>1272</v>
      </c>
      <c r="H104" s="28" t="s">
        <v>1272</v>
      </c>
      <c r="I104" s="28" t="s">
        <v>1272</v>
      </c>
      <c r="J104" s="28" t="s">
        <v>1272</v>
      </c>
      <c r="K104" s="28" t="s">
        <v>1272</v>
      </c>
      <c r="L104" s="28" t="s">
        <v>1272</v>
      </c>
      <c r="M104" s="28" t="s">
        <v>1272</v>
      </c>
      <c r="N104" s="28" t="s">
        <v>1272</v>
      </c>
      <c r="O104" s="28" t="s">
        <v>1272</v>
      </c>
      <c r="P104" s="28" t="s">
        <v>1272</v>
      </c>
      <c r="Q104" s="28" t="s">
        <v>1272</v>
      </c>
      <c r="R104" s="28" t="s">
        <v>1272</v>
      </c>
      <c r="S104" s="28" t="s">
        <v>1272</v>
      </c>
      <c r="T104" s="28" t="s">
        <v>1272</v>
      </c>
      <c r="U104" s="28" t="s">
        <v>1272</v>
      </c>
      <c r="V104" s="28" t="s">
        <v>1272</v>
      </c>
      <c r="W104" s="28" t="s">
        <v>1272</v>
      </c>
      <c r="X104" s="28" t="s">
        <v>1272</v>
      </c>
      <c r="Y104" s="28" t="s">
        <v>1272</v>
      </c>
      <c r="Z104" s="28" t="s">
        <v>1272</v>
      </c>
      <c r="AA104" s="28" t="s">
        <v>1272</v>
      </c>
      <c r="AB104" s="28" t="s">
        <v>1272</v>
      </c>
      <c r="AC104" s="28" t="s">
        <v>1272</v>
      </c>
      <c r="AD104" s="28" t="s">
        <v>1272</v>
      </c>
      <c r="AE104" s="28" t="s">
        <v>1272</v>
      </c>
      <c r="AF104" s="28" t="s">
        <v>1272</v>
      </c>
      <c r="AG104" s="28" t="s">
        <v>1272</v>
      </c>
      <c r="AH104" s="28" t="s">
        <v>1272</v>
      </c>
      <c r="AI104" s="28" t="s">
        <v>1272</v>
      </c>
      <c r="AJ104" s="28" t="s">
        <v>1272</v>
      </c>
    </row>
    <row r="105" spans="1:36">
      <c r="A105" s="29" t="s">
        <v>1278</v>
      </c>
      <c r="B105" s="28" t="s">
        <v>1210</v>
      </c>
      <c r="C105" s="28" t="s">
        <v>1210</v>
      </c>
      <c r="D105" s="28" t="s">
        <v>1210</v>
      </c>
      <c r="E105" s="28" t="s">
        <v>1272</v>
      </c>
      <c r="F105" s="28" t="s">
        <v>1272</v>
      </c>
      <c r="G105" s="28" t="s">
        <v>1272</v>
      </c>
      <c r="H105" s="28" t="s">
        <v>1272</v>
      </c>
      <c r="I105" s="28" t="s">
        <v>1272</v>
      </c>
      <c r="J105" s="28" t="s">
        <v>1272</v>
      </c>
      <c r="K105" s="28" t="s">
        <v>1272</v>
      </c>
      <c r="L105" s="28" t="s">
        <v>1272</v>
      </c>
      <c r="M105" s="28" t="s">
        <v>1271</v>
      </c>
      <c r="N105" s="28" t="s">
        <v>1271</v>
      </c>
      <c r="O105" s="28" t="s">
        <v>1271</v>
      </c>
      <c r="P105" s="28" t="s">
        <v>1271</v>
      </c>
      <c r="Q105" s="28" t="s">
        <v>1271</v>
      </c>
      <c r="R105" s="28" t="s">
        <v>1271</v>
      </c>
      <c r="S105" s="28" t="s">
        <v>1271</v>
      </c>
      <c r="T105" s="28" t="s">
        <v>1271</v>
      </c>
      <c r="U105" s="28" t="s">
        <v>1271</v>
      </c>
      <c r="V105" s="28" t="s">
        <v>1271</v>
      </c>
      <c r="W105" s="28" t="s">
        <v>1271</v>
      </c>
      <c r="X105" s="28" t="s">
        <v>1271</v>
      </c>
      <c r="Y105" s="28" t="s">
        <v>1271</v>
      </c>
      <c r="Z105" s="28" t="s">
        <v>1271</v>
      </c>
      <c r="AA105" s="28" t="s">
        <v>1271</v>
      </c>
      <c r="AB105" s="28" t="s">
        <v>1271</v>
      </c>
      <c r="AC105" s="28" t="s">
        <v>1271</v>
      </c>
      <c r="AD105" s="28" t="s">
        <v>1271</v>
      </c>
      <c r="AE105" s="28" t="s">
        <v>1271</v>
      </c>
      <c r="AF105" s="28" t="s">
        <v>1271</v>
      </c>
      <c r="AG105" s="28" t="s">
        <v>1271</v>
      </c>
      <c r="AH105" s="28" t="s">
        <v>1271</v>
      </c>
      <c r="AI105" s="28" t="s">
        <v>1271</v>
      </c>
      <c r="AJ105" s="28" t="s">
        <v>1271</v>
      </c>
    </row>
    <row r="106" spans="1:36">
      <c r="A106" s="29" t="s">
        <v>1103</v>
      </c>
      <c r="B106" s="28" t="s">
        <v>1273</v>
      </c>
      <c r="C106" s="28" t="s">
        <v>1273</v>
      </c>
      <c r="D106" s="28" t="s">
        <v>1273</v>
      </c>
      <c r="E106" s="28" t="s">
        <v>1273</v>
      </c>
      <c r="F106" s="28" t="s">
        <v>1273</v>
      </c>
      <c r="G106" s="28" t="s">
        <v>1273</v>
      </c>
      <c r="H106" s="28" t="s">
        <v>1273</v>
      </c>
      <c r="I106" s="28" t="s">
        <v>1273</v>
      </c>
      <c r="J106" s="28" t="s">
        <v>1274</v>
      </c>
      <c r="K106" s="28" t="s">
        <v>1274</v>
      </c>
      <c r="L106" s="28" t="s">
        <v>1274</v>
      </c>
      <c r="M106" s="28" t="s">
        <v>1273</v>
      </c>
      <c r="N106" s="28" t="s">
        <v>1273</v>
      </c>
      <c r="O106" s="28" t="s">
        <v>1273</v>
      </c>
      <c r="P106" s="28" t="s">
        <v>1274</v>
      </c>
      <c r="Q106" s="28" t="s">
        <v>1274</v>
      </c>
      <c r="R106" s="28" t="s">
        <v>1274</v>
      </c>
      <c r="S106" s="28" t="s">
        <v>1274</v>
      </c>
      <c r="T106" s="28" t="s">
        <v>1274</v>
      </c>
      <c r="U106" s="28" t="s">
        <v>1274</v>
      </c>
      <c r="V106" s="28" t="s">
        <v>1274</v>
      </c>
      <c r="W106" s="28" t="s">
        <v>1274</v>
      </c>
      <c r="X106" s="28" t="s">
        <v>1274</v>
      </c>
      <c r="Y106" s="28" t="s">
        <v>1274</v>
      </c>
      <c r="Z106" s="28" t="s">
        <v>1274</v>
      </c>
      <c r="AA106" s="28" t="s">
        <v>1274</v>
      </c>
      <c r="AB106" s="28" t="s">
        <v>1274</v>
      </c>
      <c r="AC106" s="28" t="s">
        <v>1274</v>
      </c>
      <c r="AD106" s="28" t="s">
        <v>1274</v>
      </c>
      <c r="AE106" s="28" t="s">
        <v>1274</v>
      </c>
      <c r="AF106" s="28" t="s">
        <v>1274</v>
      </c>
      <c r="AG106" s="28" t="s">
        <v>1274</v>
      </c>
      <c r="AH106" s="28" t="s">
        <v>1274</v>
      </c>
      <c r="AI106" s="28" t="s">
        <v>1274</v>
      </c>
      <c r="AJ106" s="28" t="s">
        <v>1274</v>
      </c>
    </row>
    <row r="107" spans="1:36">
      <c r="A107" s="29" t="s">
        <v>1105</v>
      </c>
      <c r="B107" s="28" t="s">
        <v>1210</v>
      </c>
      <c r="C107" s="28" t="s">
        <v>1210</v>
      </c>
      <c r="D107" s="28" t="s">
        <v>1210</v>
      </c>
      <c r="E107" s="28" t="s">
        <v>1210</v>
      </c>
      <c r="F107" s="28" t="s">
        <v>1210</v>
      </c>
      <c r="G107" s="28" t="s">
        <v>1210</v>
      </c>
      <c r="H107" s="28" t="s">
        <v>1210</v>
      </c>
      <c r="I107" s="28" t="s">
        <v>1210</v>
      </c>
      <c r="J107" s="28" t="s">
        <v>1210</v>
      </c>
      <c r="K107" s="28" t="s">
        <v>1210</v>
      </c>
      <c r="L107" s="28" t="s">
        <v>1210</v>
      </c>
      <c r="M107" s="28" t="s">
        <v>1210</v>
      </c>
      <c r="N107" s="28" t="s">
        <v>1210</v>
      </c>
      <c r="O107" s="28" t="s">
        <v>1210</v>
      </c>
      <c r="P107" s="28" t="s">
        <v>1210</v>
      </c>
      <c r="Q107" s="28" t="s">
        <v>1210</v>
      </c>
      <c r="R107" s="28" t="s">
        <v>1210</v>
      </c>
      <c r="S107" s="28" t="s">
        <v>1210</v>
      </c>
      <c r="T107" s="28" t="s">
        <v>1210</v>
      </c>
      <c r="U107" s="28" t="s">
        <v>1210</v>
      </c>
      <c r="V107" s="28" t="s">
        <v>1210</v>
      </c>
      <c r="W107" s="28" t="s">
        <v>1272</v>
      </c>
      <c r="X107" s="28" t="s">
        <v>1272</v>
      </c>
      <c r="Y107" s="28" t="s">
        <v>1272</v>
      </c>
      <c r="Z107" s="28" t="s">
        <v>1272</v>
      </c>
      <c r="AA107" s="28" t="s">
        <v>1272</v>
      </c>
      <c r="AB107" s="28" t="s">
        <v>1272</v>
      </c>
      <c r="AC107" s="28" t="s">
        <v>1272</v>
      </c>
      <c r="AD107" s="28" t="s">
        <v>1272</v>
      </c>
      <c r="AE107" s="28" t="s">
        <v>1272</v>
      </c>
      <c r="AF107" s="28" t="s">
        <v>1272</v>
      </c>
      <c r="AG107" s="28" t="s">
        <v>1273</v>
      </c>
      <c r="AH107" s="28" t="s">
        <v>1273</v>
      </c>
      <c r="AI107" s="28" t="s">
        <v>1273</v>
      </c>
      <c r="AJ107" s="28" t="s">
        <v>1273</v>
      </c>
    </row>
    <row r="108" spans="1:36">
      <c r="A108" s="29" t="s">
        <v>1182</v>
      </c>
      <c r="B108" s="28" t="s">
        <v>1274</v>
      </c>
      <c r="C108" s="28" t="s">
        <v>1274</v>
      </c>
      <c r="D108" s="28" t="s">
        <v>1274</v>
      </c>
      <c r="E108" s="28" t="s">
        <v>1274</v>
      </c>
      <c r="F108" s="28" t="s">
        <v>1274</v>
      </c>
      <c r="G108" s="28" t="s">
        <v>1274</v>
      </c>
      <c r="H108" s="28" t="s">
        <v>1274</v>
      </c>
      <c r="I108" s="28" t="s">
        <v>1274</v>
      </c>
      <c r="J108" s="28" t="s">
        <v>1274</v>
      </c>
      <c r="K108" s="28" t="s">
        <v>1274</v>
      </c>
      <c r="L108" s="28" t="s">
        <v>1274</v>
      </c>
      <c r="M108" s="28" t="s">
        <v>1274</v>
      </c>
      <c r="N108" s="28" t="s">
        <v>1274</v>
      </c>
      <c r="O108" s="28" t="s">
        <v>1274</v>
      </c>
      <c r="P108" s="28" t="s">
        <v>1274</v>
      </c>
      <c r="Q108" s="28" t="s">
        <v>1274</v>
      </c>
      <c r="R108" s="28" t="s">
        <v>1274</v>
      </c>
      <c r="S108" s="28" t="s">
        <v>1274</v>
      </c>
      <c r="T108" s="28" t="s">
        <v>1274</v>
      </c>
      <c r="U108" s="28" t="s">
        <v>1274</v>
      </c>
      <c r="V108" s="28" t="s">
        <v>1274</v>
      </c>
      <c r="W108" s="28" t="s">
        <v>1274</v>
      </c>
      <c r="X108" s="28" t="s">
        <v>1274</v>
      </c>
      <c r="Y108" s="28" t="s">
        <v>1274</v>
      </c>
      <c r="Z108" s="28" t="s">
        <v>1274</v>
      </c>
      <c r="AA108" s="28" t="s">
        <v>1274</v>
      </c>
      <c r="AB108" s="28" t="s">
        <v>1274</v>
      </c>
      <c r="AC108" s="28" t="s">
        <v>1274</v>
      </c>
      <c r="AD108" s="28" t="s">
        <v>1274</v>
      </c>
      <c r="AE108" s="28" t="s">
        <v>1274</v>
      </c>
      <c r="AF108" s="28" t="s">
        <v>1274</v>
      </c>
      <c r="AG108" s="28" t="s">
        <v>1274</v>
      </c>
      <c r="AH108" s="28" t="s">
        <v>1274</v>
      </c>
      <c r="AI108" s="28" t="s">
        <v>1274</v>
      </c>
      <c r="AJ108" s="28" t="s">
        <v>1274</v>
      </c>
    </row>
    <row r="109" spans="1:36">
      <c r="A109" s="29" t="s">
        <v>1106</v>
      </c>
      <c r="B109" s="28" t="s">
        <v>1210</v>
      </c>
      <c r="C109" s="28" t="s">
        <v>1210</v>
      </c>
      <c r="D109" s="28" t="s">
        <v>1210</v>
      </c>
      <c r="E109" s="28" t="s">
        <v>1210</v>
      </c>
      <c r="F109" s="28" t="s">
        <v>1272</v>
      </c>
      <c r="G109" s="28" t="s">
        <v>1272</v>
      </c>
      <c r="H109" s="28" t="s">
        <v>1272</v>
      </c>
      <c r="I109" s="28" t="s">
        <v>1271</v>
      </c>
      <c r="J109" s="28" t="s">
        <v>1271</v>
      </c>
      <c r="K109" s="28" t="s">
        <v>1271</v>
      </c>
      <c r="L109" s="28" t="s">
        <v>1271</v>
      </c>
      <c r="M109" s="28" t="s">
        <v>1271</v>
      </c>
      <c r="N109" s="28" t="s">
        <v>1271</v>
      </c>
      <c r="O109" s="28" t="s">
        <v>1271</v>
      </c>
      <c r="P109" s="28" t="s">
        <v>1271</v>
      </c>
      <c r="Q109" s="28" t="s">
        <v>1271</v>
      </c>
      <c r="R109" s="28" t="s">
        <v>1271</v>
      </c>
      <c r="S109" s="28" t="s">
        <v>1271</v>
      </c>
      <c r="T109" s="28" t="s">
        <v>1271</v>
      </c>
      <c r="U109" s="28" t="s">
        <v>1271</v>
      </c>
      <c r="V109" s="28" t="s">
        <v>1271</v>
      </c>
      <c r="W109" s="28" t="s">
        <v>1271</v>
      </c>
      <c r="X109" s="28" t="s">
        <v>1271</v>
      </c>
      <c r="Y109" s="28" t="s">
        <v>1271</v>
      </c>
      <c r="Z109" s="28" t="s">
        <v>1271</v>
      </c>
      <c r="AA109" s="28" t="s">
        <v>1271</v>
      </c>
      <c r="AB109" s="28" t="s">
        <v>1272</v>
      </c>
      <c r="AC109" s="28" t="s">
        <v>1272</v>
      </c>
      <c r="AD109" s="28" t="s">
        <v>1272</v>
      </c>
      <c r="AE109" s="28" t="s">
        <v>1272</v>
      </c>
      <c r="AF109" s="28" t="s">
        <v>1272</v>
      </c>
      <c r="AG109" s="28" t="s">
        <v>1272</v>
      </c>
      <c r="AH109" s="28" t="s">
        <v>1272</v>
      </c>
      <c r="AI109" s="28" t="s">
        <v>1272</v>
      </c>
      <c r="AJ109" s="28" t="s">
        <v>1272</v>
      </c>
    </row>
    <row r="110" spans="1:36">
      <c r="A110" s="29" t="s">
        <v>1107</v>
      </c>
      <c r="B110" s="28" t="s">
        <v>1271</v>
      </c>
      <c r="C110" s="28" t="s">
        <v>1271</v>
      </c>
      <c r="D110" s="28" t="s">
        <v>1271</v>
      </c>
      <c r="E110" s="28" t="s">
        <v>1271</v>
      </c>
      <c r="F110" s="28" t="s">
        <v>1271</v>
      </c>
      <c r="G110" s="28" t="s">
        <v>1271</v>
      </c>
      <c r="H110" s="28" t="s">
        <v>1271</v>
      </c>
      <c r="I110" s="28" t="s">
        <v>1271</v>
      </c>
      <c r="J110" s="28" t="s">
        <v>1271</v>
      </c>
      <c r="K110" s="28" t="s">
        <v>1271</v>
      </c>
      <c r="L110" s="28" t="s">
        <v>1271</v>
      </c>
      <c r="M110" s="28" t="s">
        <v>1271</v>
      </c>
      <c r="N110" s="28" t="s">
        <v>1271</v>
      </c>
      <c r="O110" s="28" t="s">
        <v>1271</v>
      </c>
      <c r="P110" s="28" t="s">
        <v>1271</v>
      </c>
      <c r="Q110" s="28" t="s">
        <v>1271</v>
      </c>
      <c r="R110" s="28" t="s">
        <v>1271</v>
      </c>
      <c r="S110" s="28" t="s">
        <v>1271</v>
      </c>
      <c r="T110" s="28" t="s">
        <v>1271</v>
      </c>
      <c r="U110" s="28" t="s">
        <v>1271</v>
      </c>
      <c r="V110" s="28" t="s">
        <v>1271</v>
      </c>
      <c r="W110" s="28" t="s">
        <v>1271</v>
      </c>
      <c r="X110" s="28" t="s">
        <v>1271</v>
      </c>
      <c r="Y110" s="28" t="s">
        <v>1272</v>
      </c>
      <c r="Z110" s="28" t="s">
        <v>1272</v>
      </c>
      <c r="AA110" s="28" t="s">
        <v>1272</v>
      </c>
      <c r="AB110" s="28" t="s">
        <v>1272</v>
      </c>
      <c r="AC110" s="28" t="s">
        <v>1272</v>
      </c>
      <c r="AD110" s="28" t="s">
        <v>1272</v>
      </c>
      <c r="AE110" s="28" t="s">
        <v>1272</v>
      </c>
      <c r="AF110" s="28" t="s">
        <v>1272</v>
      </c>
      <c r="AG110" s="28" t="s">
        <v>1272</v>
      </c>
      <c r="AH110" s="28" t="s">
        <v>1272</v>
      </c>
      <c r="AI110" s="28" t="s">
        <v>1272</v>
      </c>
      <c r="AJ110" s="28" t="s">
        <v>1272</v>
      </c>
    </row>
    <row r="111" spans="1:36">
      <c r="A111" s="29" t="s">
        <v>1109</v>
      </c>
      <c r="B111" s="28" t="s">
        <v>1210</v>
      </c>
      <c r="C111" s="28" t="s">
        <v>1210</v>
      </c>
      <c r="D111" s="28" t="s">
        <v>1210</v>
      </c>
      <c r="E111" s="28" t="s">
        <v>1210</v>
      </c>
      <c r="F111" s="28" t="s">
        <v>1273</v>
      </c>
      <c r="G111" s="28" t="s">
        <v>1272</v>
      </c>
      <c r="H111" s="28" t="s">
        <v>1272</v>
      </c>
      <c r="I111" s="28" t="s">
        <v>1272</v>
      </c>
      <c r="J111" s="28" t="s">
        <v>1272</v>
      </c>
      <c r="K111" s="28" t="s">
        <v>1272</v>
      </c>
      <c r="L111" s="28" t="s">
        <v>1272</v>
      </c>
      <c r="M111" s="28" t="s">
        <v>1272</v>
      </c>
      <c r="N111" s="28" t="s">
        <v>1272</v>
      </c>
      <c r="O111" s="28" t="s">
        <v>1272</v>
      </c>
      <c r="P111" s="28" t="s">
        <v>1273</v>
      </c>
      <c r="Q111" s="28" t="s">
        <v>1273</v>
      </c>
      <c r="R111" s="28" t="s">
        <v>1273</v>
      </c>
      <c r="S111" s="28" t="s">
        <v>1273</v>
      </c>
      <c r="T111" s="28" t="s">
        <v>1273</v>
      </c>
      <c r="U111" s="28" t="s">
        <v>1273</v>
      </c>
      <c r="V111" s="28" t="s">
        <v>1273</v>
      </c>
      <c r="W111" s="28" t="s">
        <v>1273</v>
      </c>
      <c r="X111" s="28" t="s">
        <v>1274</v>
      </c>
      <c r="Y111" s="28" t="s">
        <v>1273</v>
      </c>
      <c r="Z111" s="28" t="s">
        <v>1273</v>
      </c>
      <c r="AA111" s="28" t="s">
        <v>1274</v>
      </c>
      <c r="AB111" s="28" t="s">
        <v>1274</v>
      </c>
      <c r="AC111" s="28" t="s">
        <v>1274</v>
      </c>
      <c r="AD111" s="28" t="s">
        <v>1274</v>
      </c>
      <c r="AE111" s="28" t="s">
        <v>1274</v>
      </c>
      <c r="AF111" s="28" t="s">
        <v>1274</v>
      </c>
      <c r="AG111" s="28" t="s">
        <v>1274</v>
      </c>
      <c r="AH111" s="28" t="s">
        <v>1274</v>
      </c>
      <c r="AI111" s="28" t="s">
        <v>1274</v>
      </c>
      <c r="AJ111" s="28" t="s">
        <v>1274</v>
      </c>
    </row>
    <row r="112" spans="1:36">
      <c r="A112" s="29" t="s">
        <v>1057</v>
      </c>
      <c r="B112" s="28" t="s">
        <v>1272</v>
      </c>
      <c r="C112" s="28" t="s">
        <v>1272</v>
      </c>
      <c r="D112" s="28" t="s">
        <v>1272</v>
      </c>
      <c r="E112" s="28" t="s">
        <v>1272</v>
      </c>
      <c r="F112" s="28" t="s">
        <v>1272</v>
      </c>
      <c r="G112" s="28" t="s">
        <v>1272</v>
      </c>
      <c r="H112" s="28" t="s">
        <v>1272</v>
      </c>
      <c r="I112" s="28" t="s">
        <v>1272</v>
      </c>
      <c r="J112" s="28" t="s">
        <v>1272</v>
      </c>
      <c r="K112" s="28" t="s">
        <v>1272</v>
      </c>
      <c r="L112" s="28" t="s">
        <v>1273</v>
      </c>
      <c r="M112" s="28" t="s">
        <v>1273</v>
      </c>
      <c r="N112" s="28" t="s">
        <v>1273</v>
      </c>
      <c r="O112" s="28" t="s">
        <v>1273</v>
      </c>
      <c r="P112" s="28" t="s">
        <v>1273</v>
      </c>
      <c r="Q112" s="28" t="s">
        <v>1273</v>
      </c>
      <c r="R112" s="28" t="s">
        <v>1273</v>
      </c>
      <c r="S112" s="28" t="s">
        <v>1273</v>
      </c>
      <c r="T112" s="28" t="s">
        <v>1273</v>
      </c>
      <c r="U112" s="28" t="s">
        <v>1273</v>
      </c>
      <c r="V112" s="28" t="s">
        <v>1273</v>
      </c>
      <c r="W112" s="28" t="s">
        <v>1273</v>
      </c>
      <c r="X112" s="28" t="s">
        <v>1273</v>
      </c>
      <c r="Y112" s="28" t="s">
        <v>1273</v>
      </c>
      <c r="Z112" s="28" t="s">
        <v>1273</v>
      </c>
      <c r="AA112" s="28" t="s">
        <v>1273</v>
      </c>
      <c r="AB112" s="28" t="s">
        <v>1273</v>
      </c>
      <c r="AC112" s="28" t="s">
        <v>1273</v>
      </c>
      <c r="AD112" s="28" t="s">
        <v>1273</v>
      </c>
      <c r="AE112" s="28" t="s">
        <v>1273</v>
      </c>
      <c r="AF112" s="28" t="s">
        <v>1273</v>
      </c>
      <c r="AG112" s="28" t="s">
        <v>1273</v>
      </c>
      <c r="AH112" s="28" t="s">
        <v>1273</v>
      </c>
      <c r="AI112" s="28" t="s">
        <v>1273</v>
      </c>
      <c r="AJ112" s="28" t="s">
        <v>1272</v>
      </c>
    </row>
    <row r="113" spans="1:36">
      <c r="A113" s="29" t="s">
        <v>1059</v>
      </c>
      <c r="B113" s="28" t="s">
        <v>1271</v>
      </c>
      <c r="C113" s="28" t="s">
        <v>1271</v>
      </c>
      <c r="D113" s="28" t="s">
        <v>1271</v>
      </c>
      <c r="E113" s="28" t="s">
        <v>1271</v>
      </c>
      <c r="F113" s="28" t="s">
        <v>1271</v>
      </c>
      <c r="G113" s="28" t="s">
        <v>1271</v>
      </c>
      <c r="H113" s="28" t="s">
        <v>1271</v>
      </c>
      <c r="I113" s="28" t="s">
        <v>1271</v>
      </c>
      <c r="J113" s="28" t="s">
        <v>1272</v>
      </c>
      <c r="K113" s="28" t="s">
        <v>1271</v>
      </c>
      <c r="L113" s="28" t="s">
        <v>1271</v>
      </c>
      <c r="M113" s="28" t="s">
        <v>1271</v>
      </c>
      <c r="N113" s="28" t="s">
        <v>1271</v>
      </c>
      <c r="O113" s="28" t="s">
        <v>1271</v>
      </c>
      <c r="P113" s="28" t="s">
        <v>1271</v>
      </c>
      <c r="Q113" s="28" t="s">
        <v>1271</v>
      </c>
      <c r="R113" s="28" t="s">
        <v>1271</v>
      </c>
      <c r="S113" s="28" t="s">
        <v>1271</v>
      </c>
      <c r="T113" s="28" t="s">
        <v>1272</v>
      </c>
      <c r="U113" s="28" t="s">
        <v>1272</v>
      </c>
      <c r="V113" s="28" t="s">
        <v>1272</v>
      </c>
      <c r="W113" s="28" t="s">
        <v>1272</v>
      </c>
      <c r="X113" s="28" t="s">
        <v>1272</v>
      </c>
      <c r="Y113" s="28" t="s">
        <v>1272</v>
      </c>
      <c r="Z113" s="28" t="s">
        <v>1272</v>
      </c>
      <c r="AA113" s="28" t="s">
        <v>1272</v>
      </c>
      <c r="AB113" s="28" t="s">
        <v>1272</v>
      </c>
      <c r="AC113" s="28" t="s">
        <v>1272</v>
      </c>
      <c r="AD113" s="28" t="s">
        <v>1272</v>
      </c>
      <c r="AE113" s="28" t="s">
        <v>1272</v>
      </c>
      <c r="AF113" s="28" t="s">
        <v>1272</v>
      </c>
      <c r="AG113" s="28" t="s">
        <v>1272</v>
      </c>
      <c r="AH113" s="28" t="s">
        <v>1272</v>
      </c>
      <c r="AI113" s="28" t="s">
        <v>1272</v>
      </c>
      <c r="AJ113" s="28" t="s">
        <v>1272</v>
      </c>
    </row>
    <row r="114" spans="1:36">
      <c r="A114" s="29" t="s">
        <v>1113</v>
      </c>
      <c r="B114" s="28" t="s">
        <v>1271</v>
      </c>
      <c r="C114" s="28" t="s">
        <v>1271</v>
      </c>
      <c r="D114" s="28" t="s">
        <v>1271</v>
      </c>
      <c r="E114" s="28" t="s">
        <v>1271</v>
      </c>
      <c r="F114" s="28" t="s">
        <v>1271</v>
      </c>
      <c r="G114" s="28" t="s">
        <v>1271</v>
      </c>
      <c r="H114" s="28" t="s">
        <v>1271</v>
      </c>
      <c r="I114" s="28" t="s">
        <v>1271</v>
      </c>
      <c r="J114" s="28" t="s">
        <v>1271</v>
      </c>
      <c r="K114" s="28" t="s">
        <v>1271</v>
      </c>
      <c r="L114" s="28" t="s">
        <v>1271</v>
      </c>
      <c r="M114" s="28" t="s">
        <v>1271</v>
      </c>
      <c r="N114" s="28" t="s">
        <v>1271</v>
      </c>
      <c r="O114" s="28" t="s">
        <v>1271</v>
      </c>
      <c r="P114" s="28" t="s">
        <v>1271</v>
      </c>
      <c r="Q114" s="28" t="s">
        <v>1271</v>
      </c>
      <c r="R114" s="28" t="s">
        <v>1271</v>
      </c>
      <c r="S114" s="28" t="s">
        <v>1271</v>
      </c>
      <c r="T114" s="28" t="s">
        <v>1271</v>
      </c>
      <c r="U114" s="28" t="s">
        <v>1271</v>
      </c>
      <c r="V114" s="28" t="s">
        <v>1271</v>
      </c>
      <c r="W114" s="28" t="s">
        <v>1271</v>
      </c>
      <c r="X114" s="28" t="s">
        <v>1271</v>
      </c>
      <c r="Y114" s="28" t="s">
        <v>1271</v>
      </c>
      <c r="Z114" s="28" t="s">
        <v>1271</v>
      </c>
      <c r="AA114" s="28" t="s">
        <v>1271</v>
      </c>
      <c r="AB114" s="28" t="s">
        <v>1271</v>
      </c>
      <c r="AC114" s="28" t="s">
        <v>1271</v>
      </c>
      <c r="AD114" s="28" t="s">
        <v>1271</v>
      </c>
      <c r="AE114" s="28" t="s">
        <v>1271</v>
      </c>
      <c r="AF114" s="28" t="s">
        <v>1271</v>
      </c>
      <c r="AG114" s="28" t="s">
        <v>1271</v>
      </c>
      <c r="AH114" s="28" t="s">
        <v>1271</v>
      </c>
      <c r="AI114" s="28" t="s">
        <v>1271</v>
      </c>
      <c r="AJ114" s="28" t="s">
        <v>1271</v>
      </c>
    </row>
    <row r="115" spans="1:36">
      <c r="A115" s="29" t="s">
        <v>1115</v>
      </c>
      <c r="B115" s="28" t="s">
        <v>1273</v>
      </c>
      <c r="C115" s="28" t="s">
        <v>1273</v>
      </c>
      <c r="D115" s="28" t="s">
        <v>1273</v>
      </c>
      <c r="E115" s="28" t="s">
        <v>1273</v>
      </c>
      <c r="F115" s="28" t="s">
        <v>1273</v>
      </c>
      <c r="G115" s="28" t="s">
        <v>1273</v>
      </c>
      <c r="H115" s="28" t="s">
        <v>1273</v>
      </c>
      <c r="I115" s="28" t="s">
        <v>1273</v>
      </c>
      <c r="J115" s="28" t="s">
        <v>1273</v>
      </c>
      <c r="K115" s="28" t="s">
        <v>1273</v>
      </c>
      <c r="L115" s="28" t="s">
        <v>1273</v>
      </c>
      <c r="M115" s="28" t="s">
        <v>1273</v>
      </c>
      <c r="N115" s="28" t="s">
        <v>1273</v>
      </c>
      <c r="O115" s="28" t="s">
        <v>1273</v>
      </c>
      <c r="P115" s="28" t="s">
        <v>1273</v>
      </c>
      <c r="Q115" s="28" t="s">
        <v>1273</v>
      </c>
      <c r="R115" s="28" t="s">
        <v>1273</v>
      </c>
      <c r="S115" s="28" t="s">
        <v>1273</v>
      </c>
      <c r="T115" s="28" t="s">
        <v>1273</v>
      </c>
      <c r="U115" s="28" t="s">
        <v>1273</v>
      </c>
      <c r="V115" s="28" t="s">
        <v>1273</v>
      </c>
      <c r="W115" s="28" t="s">
        <v>1273</v>
      </c>
      <c r="X115" s="28" t="s">
        <v>1273</v>
      </c>
      <c r="Y115" s="28" t="s">
        <v>1273</v>
      </c>
      <c r="Z115" s="28" t="s">
        <v>1273</v>
      </c>
      <c r="AA115" s="28" t="s">
        <v>1273</v>
      </c>
      <c r="AB115" s="28" t="s">
        <v>1273</v>
      </c>
      <c r="AC115" s="28" t="s">
        <v>1273</v>
      </c>
      <c r="AD115" s="28" t="s">
        <v>1273</v>
      </c>
      <c r="AE115" s="28" t="s">
        <v>1273</v>
      </c>
      <c r="AF115" s="28" t="s">
        <v>1273</v>
      </c>
      <c r="AG115" s="28" t="s">
        <v>1273</v>
      </c>
      <c r="AH115" s="28" t="s">
        <v>1273</v>
      </c>
      <c r="AI115" s="28" t="s">
        <v>1273</v>
      </c>
      <c r="AJ115" s="28" t="s">
        <v>1273</v>
      </c>
    </row>
    <row r="116" spans="1:36">
      <c r="A116" s="29" t="s">
        <v>1186</v>
      </c>
      <c r="B116" s="28" t="s">
        <v>1210</v>
      </c>
      <c r="C116" s="28" t="s">
        <v>1210</v>
      </c>
      <c r="D116" s="28" t="s">
        <v>1210</v>
      </c>
      <c r="E116" s="28" t="s">
        <v>1210</v>
      </c>
      <c r="F116" s="28" t="s">
        <v>1210</v>
      </c>
      <c r="G116" s="28" t="s">
        <v>1210</v>
      </c>
      <c r="H116" s="28" t="s">
        <v>1210</v>
      </c>
      <c r="I116" s="28" t="s">
        <v>1274</v>
      </c>
      <c r="J116" s="28" t="s">
        <v>1274</v>
      </c>
      <c r="K116" s="28" t="s">
        <v>1274</v>
      </c>
      <c r="L116" s="28" t="s">
        <v>1274</v>
      </c>
      <c r="M116" s="28" t="s">
        <v>1274</v>
      </c>
      <c r="N116" s="28" t="s">
        <v>1274</v>
      </c>
      <c r="O116" s="28" t="s">
        <v>1274</v>
      </c>
      <c r="P116" s="28" t="s">
        <v>1274</v>
      </c>
      <c r="Q116" s="28" t="s">
        <v>1274</v>
      </c>
      <c r="R116" s="28" t="s">
        <v>1274</v>
      </c>
      <c r="S116" s="28" t="s">
        <v>1274</v>
      </c>
      <c r="T116" s="28" t="s">
        <v>1274</v>
      </c>
      <c r="U116" s="28" t="s">
        <v>1274</v>
      </c>
      <c r="V116" s="28" t="s">
        <v>1274</v>
      </c>
      <c r="W116" s="28" t="s">
        <v>1274</v>
      </c>
      <c r="X116" s="28" t="s">
        <v>1274</v>
      </c>
      <c r="Y116" s="28" t="s">
        <v>1274</v>
      </c>
      <c r="Z116" s="28" t="s">
        <v>1274</v>
      </c>
      <c r="AA116" s="28" t="s">
        <v>1274</v>
      </c>
      <c r="AB116" s="28" t="s">
        <v>1274</v>
      </c>
      <c r="AC116" s="28" t="s">
        <v>1274</v>
      </c>
      <c r="AD116" s="28" t="s">
        <v>1274</v>
      </c>
      <c r="AE116" s="28" t="s">
        <v>1274</v>
      </c>
      <c r="AF116" s="28" t="s">
        <v>1274</v>
      </c>
      <c r="AG116" s="28" t="s">
        <v>1274</v>
      </c>
      <c r="AH116" s="28" t="s">
        <v>1274</v>
      </c>
      <c r="AI116" s="28" t="s">
        <v>1274</v>
      </c>
      <c r="AJ116" s="28" t="s">
        <v>1274</v>
      </c>
    </row>
    <row r="117" spans="1:36">
      <c r="A117" s="29" t="s">
        <v>1117</v>
      </c>
      <c r="B117" s="28" t="s">
        <v>1210</v>
      </c>
      <c r="C117" s="28" t="s">
        <v>1210</v>
      </c>
      <c r="D117" s="28" t="s">
        <v>1210</v>
      </c>
      <c r="E117" s="28" t="s">
        <v>1210</v>
      </c>
      <c r="F117" s="28" t="s">
        <v>1273</v>
      </c>
      <c r="G117" s="28" t="s">
        <v>1272</v>
      </c>
      <c r="H117" s="28" t="s">
        <v>1272</v>
      </c>
      <c r="I117" s="28" t="s">
        <v>1272</v>
      </c>
      <c r="J117" s="28" t="s">
        <v>1272</v>
      </c>
      <c r="K117" s="28" t="s">
        <v>1272</v>
      </c>
      <c r="L117" s="28" t="s">
        <v>1272</v>
      </c>
      <c r="M117" s="28" t="s">
        <v>1272</v>
      </c>
      <c r="N117" s="28" t="s">
        <v>1272</v>
      </c>
      <c r="O117" s="28" t="s">
        <v>1272</v>
      </c>
      <c r="P117" s="28" t="s">
        <v>1273</v>
      </c>
      <c r="Q117" s="28" t="s">
        <v>1273</v>
      </c>
      <c r="R117" s="28" t="s">
        <v>1273</v>
      </c>
      <c r="S117" s="28" t="s">
        <v>1273</v>
      </c>
      <c r="T117" s="28" t="s">
        <v>1273</v>
      </c>
      <c r="U117" s="28" t="s">
        <v>1273</v>
      </c>
      <c r="V117" s="28" t="s">
        <v>1273</v>
      </c>
      <c r="W117" s="28" t="s">
        <v>1273</v>
      </c>
      <c r="X117" s="28" t="s">
        <v>1273</v>
      </c>
      <c r="Y117" s="28" t="s">
        <v>1273</v>
      </c>
      <c r="Z117" s="28" t="s">
        <v>1273</v>
      </c>
      <c r="AA117" s="28" t="s">
        <v>1274</v>
      </c>
      <c r="AB117" s="28" t="s">
        <v>1274</v>
      </c>
      <c r="AC117" s="28" t="s">
        <v>1274</v>
      </c>
      <c r="AD117" s="28" t="s">
        <v>1274</v>
      </c>
      <c r="AE117" s="28" t="s">
        <v>1274</v>
      </c>
      <c r="AF117" s="28" t="s">
        <v>1274</v>
      </c>
      <c r="AG117" s="28" t="s">
        <v>1274</v>
      </c>
      <c r="AH117" s="28" t="s">
        <v>1274</v>
      </c>
      <c r="AI117" s="28" t="s">
        <v>1274</v>
      </c>
      <c r="AJ117" s="28" t="s">
        <v>1274</v>
      </c>
    </row>
    <row r="118" spans="1:36">
      <c r="A118" s="29" t="s">
        <v>1119</v>
      </c>
      <c r="B118" s="28" t="s">
        <v>1274</v>
      </c>
      <c r="C118" s="28" t="s">
        <v>1274</v>
      </c>
      <c r="D118" s="28" t="s">
        <v>1274</v>
      </c>
      <c r="E118" s="28" t="s">
        <v>1274</v>
      </c>
      <c r="F118" s="28" t="s">
        <v>1274</v>
      </c>
      <c r="G118" s="28" t="s">
        <v>1274</v>
      </c>
      <c r="H118" s="28" t="s">
        <v>1274</v>
      </c>
      <c r="I118" s="28" t="s">
        <v>1274</v>
      </c>
      <c r="J118" s="28" t="s">
        <v>1274</v>
      </c>
      <c r="K118" s="28" t="s">
        <v>1274</v>
      </c>
      <c r="L118" s="28" t="s">
        <v>1274</v>
      </c>
      <c r="M118" s="28" t="s">
        <v>1274</v>
      </c>
      <c r="N118" s="28" t="s">
        <v>1274</v>
      </c>
      <c r="O118" s="28" t="s">
        <v>1274</v>
      </c>
      <c r="P118" s="28" t="s">
        <v>1274</v>
      </c>
      <c r="Q118" s="28" t="s">
        <v>1274</v>
      </c>
      <c r="R118" s="28" t="s">
        <v>1274</v>
      </c>
      <c r="S118" s="28" t="s">
        <v>1274</v>
      </c>
      <c r="T118" s="28" t="s">
        <v>1274</v>
      </c>
      <c r="U118" s="28" t="s">
        <v>1274</v>
      </c>
      <c r="V118" s="28" t="s">
        <v>1274</v>
      </c>
      <c r="W118" s="28" t="s">
        <v>1274</v>
      </c>
      <c r="X118" s="28" t="s">
        <v>1274</v>
      </c>
      <c r="Y118" s="28" t="s">
        <v>1274</v>
      </c>
      <c r="Z118" s="28" t="s">
        <v>1274</v>
      </c>
      <c r="AA118" s="28" t="s">
        <v>1274</v>
      </c>
      <c r="AB118" s="28" t="s">
        <v>1274</v>
      </c>
      <c r="AC118" s="28" t="s">
        <v>1274</v>
      </c>
      <c r="AD118" s="28" t="s">
        <v>1274</v>
      </c>
      <c r="AE118" s="28" t="s">
        <v>1274</v>
      </c>
      <c r="AF118" s="28" t="s">
        <v>1274</v>
      </c>
      <c r="AG118" s="28" t="s">
        <v>1274</v>
      </c>
      <c r="AH118" s="28" t="s">
        <v>1274</v>
      </c>
      <c r="AI118" s="28" t="s">
        <v>1274</v>
      </c>
      <c r="AJ118" s="28" t="s">
        <v>1274</v>
      </c>
    </row>
    <row r="119" spans="1:36">
      <c r="A119" s="29" t="s">
        <v>1121</v>
      </c>
      <c r="B119" s="28" t="s">
        <v>1273</v>
      </c>
      <c r="C119" s="28" t="s">
        <v>1273</v>
      </c>
      <c r="D119" s="28" t="s">
        <v>1273</v>
      </c>
      <c r="E119" s="28" t="s">
        <v>1273</v>
      </c>
      <c r="F119" s="28" t="s">
        <v>1273</v>
      </c>
      <c r="G119" s="28" t="s">
        <v>1273</v>
      </c>
      <c r="H119" s="28" t="s">
        <v>1273</v>
      </c>
      <c r="I119" s="28" t="s">
        <v>1274</v>
      </c>
      <c r="J119" s="28" t="s">
        <v>1274</v>
      </c>
      <c r="K119" s="28" t="s">
        <v>1274</v>
      </c>
      <c r="L119" s="28" t="s">
        <v>1274</v>
      </c>
      <c r="M119" s="28" t="s">
        <v>1274</v>
      </c>
      <c r="N119" s="28" t="s">
        <v>1274</v>
      </c>
      <c r="O119" s="28" t="s">
        <v>1274</v>
      </c>
      <c r="P119" s="28" t="s">
        <v>1274</v>
      </c>
      <c r="Q119" s="28" t="s">
        <v>1274</v>
      </c>
      <c r="R119" s="28" t="s">
        <v>1274</v>
      </c>
      <c r="S119" s="28" t="s">
        <v>1274</v>
      </c>
      <c r="T119" s="28" t="s">
        <v>1274</v>
      </c>
      <c r="U119" s="28" t="s">
        <v>1274</v>
      </c>
      <c r="V119" s="28" t="s">
        <v>1274</v>
      </c>
      <c r="W119" s="28" t="s">
        <v>1274</v>
      </c>
      <c r="X119" s="28" t="s">
        <v>1274</v>
      </c>
      <c r="Y119" s="28" t="s">
        <v>1274</v>
      </c>
      <c r="Z119" s="28" t="s">
        <v>1274</v>
      </c>
      <c r="AA119" s="28" t="s">
        <v>1274</v>
      </c>
      <c r="AB119" s="28" t="s">
        <v>1274</v>
      </c>
      <c r="AC119" s="28" t="s">
        <v>1274</v>
      </c>
      <c r="AD119" s="28" t="s">
        <v>1274</v>
      </c>
      <c r="AE119" s="28" t="s">
        <v>1274</v>
      </c>
      <c r="AF119" s="28" t="s">
        <v>1274</v>
      </c>
      <c r="AG119" s="28" t="s">
        <v>1274</v>
      </c>
      <c r="AH119" s="28" t="s">
        <v>1274</v>
      </c>
      <c r="AI119" s="28" t="s">
        <v>1274</v>
      </c>
      <c r="AJ119" s="28" t="s">
        <v>1274</v>
      </c>
    </row>
    <row r="120" spans="1:36">
      <c r="A120" s="29" t="s">
        <v>1062</v>
      </c>
      <c r="B120" s="28" t="s">
        <v>1271</v>
      </c>
      <c r="C120" s="28" t="s">
        <v>1271</v>
      </c>
      <c r="D120" s="28" t="s">
        <v>1271</v>
      </c>
      <c r="E120" s="28" t="s">
        <v>1271</v>
      </c>
      <c r="F120" s="28" t="s">
        <v>1271</v>
      </c>
      <c r="G120" s="28" t="s">
        <v>1271</v>
      </c>
      <c r="H120" s="28" t="s">
        <v>1271</v>
      </c>
      <c r="I120" s="28" t="s">
        <v>1271</v>
      </c>
      <c r="J120" s="28" t="s">
        <v>1271</v>
      </c>
      <c r="K120" s="28" t="s">
        <v>1271</v>
      </c>
      <c r="L120" s="28" t="s">
        <v>1271</v>
      </c>
      <c r="M120" s="28" t="s">
        <v>1271</v>
      </c>
      <c r="N120" s="28" t="s">
        <v>1271</v>
      </c>
      <c r="O120" s="28" t="s">
        <v>1271</v>
      </c>
      <c r="P120" s="28" t="s">
        <v>1271</v>
      </c>
      <c r="Q120" s="28" t="s">
        <v>1271</v>
      </c>
      <c r="R120" s="28" t="s">
        <v>1271</v>
      </c>
      <c r="S120" s="28" t="s">
        <v>1271</v>
      </c>
      <c r="T120" s="28" t="s">
        <v>1271</v>
      </c>
      <c r="U120" s="28" t="s">
        <v>1271</v>
      </c>
      <c r="V120" s="28" t="s">
        <v>1271</v>
      </c>
      <c r="W120" s="28" t="s">
        <v>1271</v>
      </c>
      <c r="X120" s="28" t="s">
        <v>1271</v>
      </c>
      <c r="Y120" s="28" t="s">
        <v>1271</v>
      </c>
      <c r="Z120" s="28" t="s">
        <v>1271</v>
      </c>
      <c r="AA120" s="28" t="s">
        <v>1271</v>
      </c>
      <c r="AB120" s="28" t="s">
        <v>1271</v>
      </c>
      <c r="AC120" s="28" t="s">
        <v>1271</v>
      </c>
      <c r="AD120" s="28" t="s">
        <v>1271</v>
      </c>
      <c r="AE120" s="28" t="s">
        <v>1271</v>
      </c>
      <c r="AF120" s="28" t="s">
        <v>1271</v>
      </c>
      <c r="AG120" s="28" t="s">
        <v>1271</v>
      </c>
      <c r="AH120" s="28" t="s">
        <v>1271</v>
      </c>
      <c r="AI120" s="28" t="s">
        <v>1271</v>
      </c>
      <c r="AJ120" s="28" t="s">
        <v>1271</v>
      </c>
    </row>
    <row r="121" spans="1:36">
      <c r="A121" s="29" t="s">
        <v>1063</v>
      </c>
      <c r="B121" s="28" t="s">
        <v>1271</v>
      </c>
      <c r="C121" s="28" t="s">
        <v>1271</v>
      </c>
      <c r="D121" s="28" t="s">
        <v>1271</v>
      </c>
      <c r="E121" s="28" t="s">
        <v>1271</v>
      </c>
      <c r="F121" s="28" t="s">
        <v>1271</v>
      </c>
      <c r="G121" s="28" t="s">
        <v>1271</v>
      </c>
      <c r="H121" s="28" t="s">
        <v>1271</v>
      </c>
      <c r="I121" s="28" t="s">
        <v>1271</v>
      </c>
      <c r="J121" s="28" t="s">
        <v>1271</v>
      </c>
      <c r="K121" s="28" t="s">
        <v>1271</v>
      </c>
      <c r="L121" s="28" t="s">
        <v>1271</v>
      </c>
      <c r="M121" s="28" t="s">
        <v>1271</v>
      </c>
      <c r="N121" s="28" t="s">
        <v>1271</v>
      </c>
      <c r="O121" s="28" t="s">
        <v>1271</v>
      </c>
      <c r="P121" s="28" t="s">
        <v>1271</v>
      </c>
      <c r="Q121" s="28" t="s">
        <v>1271</v>
      </c>
      <c r="R121" s="28" t="s">
        <v>1271</v>
      </c>
      <c r="S121" s="28" t="s">
        <v>1271</v>
      </c>
      <c r="T121" s="28" t="s">
        <v>1271</v>
      </c>
      <c r="U121" s="28" t="s">
        <v>1271</v>
      </c>
      <c r="V121" s="28" t="s">
        <v>1271</v>
      </c>
      <c r="W121" s="28" t="s">
        <v>1271</v>
      </c>
      <c r="X121" s="28" t="s">
        <v>1271</v>
      </c>
      <c r="Y121" s="28" t="s">
        <v>1271</v>
      </c>
      <c r="Z121" s="28" t="s">
        <v>1271</v>
      </c>
      <c r="AA121" s="28" t="s">
        <v>1271</v>
      </c>
      <c r="AB121" s="28" t="s">
        <v>1271</v>
      </c>
      <c r="AC121" s="28" t="s">
        <v>1271</v>
      </c>
      <c r="AD121" s="28" t="s">
        <v>1271</v>
      </c>
      <c r="AE121" s="28" t="s">
        <v>1271</v>
      </c>
      <c r="AF121" s="28" t="s">
        <v>1271</v>
      </c>
      <c r="AG121" s="28" t="s">
        <v>1271</v>
      </c>
      <c r="AH121" s="28" t="s">
        <v>1271</v>
      </c>
      <c r="AI121" s="28" t="s">
        <v>1271</v>
      </c>
      <c r="AJ121" s="28" t="s">
        <v>1271</v>
      </c>
    </row>
    <row r="122" spans="1:36">
      <c r="A122" s="29" t="s">
        <v>214</v>
      </c>
      <c r="B122" s="28" t="s">
        <v>1272</v>
      </c>
      <c r="C122" s="28" t="s">
        <v>1272</v>
      </c>
      <c r="D122" s="28" t="s">
        <v>1272</v>
      </c>
      <c r="E122" s="28" t="s">
        <v>1272</v>
      </c>
      <c r="F122" s="28" t="s">
        <v>1272</v>
      </c>
      <c r="G122" s="28" t="s">
        <v>1273</v>
      </c>
      <c r="H122" s="28" t="s">
        <v>1273</v>
      </c>
      <c r="I122" s="28" t="s">
        <v>1273</v>
      </c>
      <c r="J122" s="28" t="s">
        <v>1273</v>
      </c>
      <c r="K122" s="28" t="s">
        <v>1273</v>
      </c>
      <c r="L122" s="28" t="s">
        <v>1273</v>
      </c>
      <c r="M122" s="28" t="s">
        <v>1273</v>
      </c>
      <c r="N122" s="28" t="s">
        <v>1273</v>
      </c>
      <c r="O122" s="28" t="s">
        <v>1273</v>
      </c>
      <c r="P122" s="28" t="s">
        <v>1273</v>
      </c>
      <c r="Q122" s="28" t="s">
        <v>1273</v>
      </c>
      <c r="R122" s="28" t="s">
        <v>1273</v>
      </c>
      <c r="S122" s="28" t="s">
        <v>1273</v>
      </c>
      <c r="T122" s="28" t="s">
        <v>1273</v>
      </c>
      <c r="U122" s="28" t="s">
        <v>1273</v>
      </c>
      <c r="V122" s="28" t="s">
        <v>1273</v>
      </c>
      <c r="W122" s="28" t="s">
        <v>1273</v>
      </c>
      <c r="X122" s="28" t="s">
        <v>1273</v>
      </c>
      <c r="Y122" s="28" t="s">
        <v>1273</v>
      </c>
      <c r="Z122" s="28" t="s">
        <v>1273</v>
      </c>
      <c r="AA122" s="28" t="s">
        <v>1273</v>
      </c>
      <c r="AB122" s="28" t="s">
        <v>1273</v>
      </c>
      <c r="AC122" s="28" t="s">
        <v>1273</v>
      </c>
      <c r="AD122" s="28" t="s">
        <v>1273</v>
      </c>
      <c r="AE122" s="28" t="s">
        <v>1273</v>
      </c>
      <c r="AF122" s="28" t="s">
        <v>1273</v>
      </c>
      <c r="AG122" s="28" t="s">
        <v>1273</v>
      </c>
      <c r="AH122" s="28" t="s">
        <v>1273</v>
      </c>
      <c r="AI122" s="28" t="s">
        <v>1273</v>
      </c>
      <c r="AJ122" s="28" t="s">
        <v>1273</v>
      </c>
    </row>
    <row r="123" spans="1:36">
      <c r="A123" s="29" t="s">
        <v>1124</v>
      </c>
      <c r="B123" s="28" t="s">
        <v>1271</v>
      </c>
      <c r="C123" s="28" t="s">
        <v>1271</v>
      </c>
      <c r="D123" s="28" t="s">
        <v>1271</v>
      </c>
      <c r="E123" s="28" t="s">
        <v>1271</v>
      </c>
      <c r="F123" s="28" t="s">
        <v>1271</v>
      </c>
      <c r="G123" s="28" t="s">
        <v>1271</v>
      </c>
      <c r="H123" s="28" t="s">
        <v>1272</v>
      </c>
      <c r="I123" s="28" t="s">
        <v>1272</v>
      </c>
      <c r="J123" s="28" t="s">
        <v>1272</v>
      </c>
      <c r="K123" s="28" t="s">
        <v>1272</v>
      </c>
      <c r="L123" s="28" t="s">
        <v>1272</v>
      </c>
      <c r="M123" s="28" t="s">
        <v>1272</v>
      </c>
      <c r="N123" s="28" t="s">
        <v>1272</v>
      </c>
      <c r="O123" s="28" t="s">
        <v>1272</v>
      </c>
      <c r="P123" s="28" t="s">
        <v>1272</v>
      </c>
      <c r="Q123" s="28" t="s">
        <v>1272</v>
      </c>
      <c r="R123" s="28" t="s">
        <v>1272</v>
      </c>
      <c r="S123" s="28" t="s">
        <v>1272</v>
      </c>
      <c r="T123" s="28" t="s">
        <v>1272</v>
      </c>
      <c r="U123" s="28" t="s">
        <v>1272</v>
      </c>
      <c r="V123" s="28" t="s">
        <v>1272</v>
      </c>
      <c r="W123" s="28" t="s">
        <v>1272</v>
      </c>
      <c r="X123" s="28" t="s">
        <v>1272</v>
      </c>
      <c r="Y123" s="28" t="s">
        <v>1273</v>
      </c>
      <c r="Z123" s="28" t="s">
        <v>1273</v>
      </c>
      <c r="AA123" s="28" t="s">
        <v>1273</v>
      </c>
      <c r="AB123" s="28" t="s">
        <v>1273</v>
      </c>
      <c r="AC123" s="28" t="s">
        <v>1273</v>
      </c>
      <c r="AD123" s="28" t="s">
        <v>1273</v>
      </c>
      <c r="AE123" s="28" t="s">
        <v>1273</v>
      </c>
      <c r="AF123" s="28" t="s">
        <v>1273</v>
      </c>
      <c r="AG123" s="28" t="s">
        <v>1273</v>
      </c>
      <c r="AH123" s="28" t="s">
        <v>1273</v>
      </c>
      <c r="AI123" s="28" t="s">
        <v>1273</v>
      </c>
      <c r="AJ123" s="28" t="s">
        <v>1273</v>
      </c>
    </row>
    <row r="124" spans="1:36">
      <c r="A124" s="29" t="s">
        <v>1066</v>
      </c>
      <c r="B124" s="28" t="s">
        <v>1271</v>
      </c>
      <c r="C124" s="28" t="s">
        <v>1271</v>
      </c>
      <c r="D124" s="28" t="s">
        <v>1271</v>
      </c>
      <c r="E124" s="28" t="s">
        <v>1271</v>
      </c>
      <c r="F124" s="28" t="s">
        <v>1271</v>
      </c>
      <c r="G124" s="28" t="s">
        <v>1271</v>
      </c>
      <c r="H124" s="28" t="s">
        <v>1271</v>
      </c>
      <c r="I124" s="28" t="s">
        <v>1271</v>
      </c>
      <c r="J124" s="28" t="s">
        <v>1271</v>
      </c>
      <c r="K124" s="28" t="s">
        <v>1271</v>
      </c>
      <c r="L124" s="28" t="s">
        <v>1271</v>
      </c>
      <c r="M124" s="28" t="s">
        <v>1271</v>
      </c>
      <c r="N124" s="28" t="s">
        <v>1271</v>
      </c>
      <c r="O124" s="28" t="s">
        <v>1271</v>
      </c>
      <c r="P124" s="28" t="s">
        <v>1271</v>
      </c>
      <c r="Q124" s="28" t="s">
        <v>1271</v>
      </c>
      <c r="R124" s="28" t="s">
        <v>1271</v>
      </c>
      <c r="S124" s="28" t="s">
        <v>1271</v>
      </c>
      <c r="T124" s="28" t="s">
        <v>1271</v>
      </c>
      <c r="U124" s="28" t="s">
        <v>1271</v>
      </c>
      <c r="V124" s="28" t="s">
        <v>1271</v>
      </c>
      <c r="W124" s="28" t="s">
        <v>1271</v>
      </c>
      <c r="X124" s="28" t="s">
        <v>1271</v>
      </c>
      <c r="Y124" s="28" t="s">
        <v>1271</v>
      </c>
      <c r="Z124" s="28" t="s">
        <v>1271</v>
      </c>
      <c r="AA124" s="28" t="s">
        <v>1271</v>
      </c>
      <c r="AB124" s="28" t="s">
        <v>1271</v>
      </c>
      <c r="AC124" s="28" t="s">
        <v>1271</v>
      </c>
      <c r="AD124" s="28" t="s">
        <v>1271</v>
      </c>
      <c r="AE124" s="28" t="s">
        <v>1271</v>
      </c>
      <c r="AF124" s="28" t="s">
        <v>1271</v>
      </c>
      <c r="AG124" s="28" t="s">
        <v>1271</v>
      </c>
      <c r="AH124" s="28" t="s">
        <v>1271</v>
      </c>
      <c r="AI124" s="28" t="s">
        <v>1271</v>
      </c>
      <c r="AJ124" s="28" t="s">
        <v>1271</v>
      </c>
    </row>
    <row r="125" spans="1:36">
      <c r="A125" s="29" t="s">
        <v>1125</v>
      </c>
      <c r="B125" s="28" t="s">
        <v>1273</v>
      </c>
      <c r="C125" s="28" t="s">
        <v>1273</v>
      </c>
      <c r="D125" s="28" t="s">
        <v>1274</v>
      </c>
      <c r="E125" s="28" t="s">
        <v>1273</v>
      </c>
      <c r="F125" s="28" t="s">
        <v>1273</v>
      </c>
      <c r="G125" s="28" t="s">
        <v>1273</v>
      </c>
      <c r="H125" s="28" t="s">
        <v>1273</v>
      </c>
      <c r="I125" s="28" t="s">
        <v>1273</v>
      </c>
      <c r="J125" s="28" t="s">
        <v>1273</v>
      </c>
      <c r="K125" s="28" t="s">
        <v>1273</v>
      </c>
      <c r="L125" s="28" t="s">
        <v>1273</v>
      </c>
      <c r="M125" s="28" t="s">
        <v>1274</v>
      </c>
      <c r="N125" s="28" t="s">
        <v>1273</v>
      </c>
      <c r="O125" s="28" t="s">
        <v>1274</v>
      </c>
      <c r="P125" s="28" t="s">
        <v>1273</v>
      </c>
      <c r="Q125" s="28" t="s">
        <v>1274</v>
      </c>
      <c r="R125" s="28" t="s">
        <v>1274</v>
      </c>
      <c r="S125" s="28" t="s">
        <v>1274</v>
      </c>
      <c r="T125" s="28" t="s">
        <v>1274</v>
      </c>
      <c r="U125" s="28" t="s">
        <v>1274</v>
      </c>
      <c r="V125" s="28" t="s">
        <v>1274</v>
      </c>
      <c r="W125" s="28" t="s">
        <v>1274</v>
      </c>
      <c r="X125" s="28" t="s">
        <v>1274</v>
      </c>
      <c r="Y125" s="28" t="s">
        <v>1274</v>
      </c>
      <c r="Z125" s="28" t="s">
        <v>1274</v>
      </c>
      <c r="AA125" s="28" t="s">
        <v>1274</v>
      </c>
      <c r="AB125" s="28" t="s">
        <v>1274</v>
      </c>
      <c r="AC125" s="28" t="s">
        <v>1274</v>
      </c>
      <c r="AD125" s="28" t="s">
        <v>1274</v>
      </c>
      <c r="AE125" s="28" t="s">
        <v>1274</v>
      </c>
      <c r="AF125" s="28" t="s">
        <v>1274</v>
      </c>
      <c r="AG125" s="28" t="s">
        <v>1274</v>
      </c>
      <c r="AH125" s="28" t="s">
        <v>1274</v>
      </c>
      <c r="AI125" s="28" t="s">
        <v>1274</v>
      </c>
      <c r="AJ125" s="28" t="s">
        <v>1274</v>
      </c>
    </row>
    <row r="126" spans="1:36">
      <c r="A126" s="29" t="s">
        <v>1126</v>
      </c>
      <c r="B126" s="28" t="s">
        <v>1210</v>
      </c>
      <c r="C126" s="28" t="s">
        <v>1210</v>
      </c>
      <c r="D126" s="28" t="s">
        <v>1210</v>
      </c>
      <c r="E126" s="28" t="s">
        <v>1210</v>
      </c>
      <c r="F126" s="28" t="s">
        <v>1272</v>
      </c>
      <c r="G126" s="28" t="s">
        <v>1272</v>
      </c>
      <c r="H126" s="28" t="s">
        <v>1272</v>
      </c>
      <c r="I126" s="28" t="s">
        <v>1272</v>
      </c>
      <c r="J126" s="28" t="s">
        <v>1272</v>
      </c>
      <c r="K126" s="28" t="s">
        <v>1272</v>
      </c>
      <c r="L126" s="28" t="s">
        <v>1272</v>
      </c>
      <c r="M126" s="28" t="s">
        <v>1272</v>
      </c>
      <c r="N126" s="28" t="s">
        <v>1272</v>
      </c>
      <c r="O126" s="28" t="s">
        <v>1272</v>
      </c>
      <c r="P126" s="28" t="s">
        <v>1272</v>
      </c>
      <c r="Q126" s="28" t="s">
        <v>1272</v>
      </c>
      <c r="R126" s="28" t="s">
        <v>1272</v>
      </c>
      <c r="S126" s="28" t="s">
        <v>1272</v>
      </c>
      <c r="T126" s="28" t="s">
        <v>1272</v>
      </c>
      <c r="U126" s="28" t="s">
        <v>1272</v>
      </c>
      <c r="V126" s="28" t="s">
        <v>1272</v>
      </c>
      <c r="W126" s="28" t="s">
        <v>1272</v>
      </c>
      <c r="X126" s="28" t="s">
        <v>1272</v>
      </c>
      <c r="Y126" s="28" t="s">
        <v>1272</v>
      </c>
      <c r="Z126" s="28" t="s">
        <v>1272</v>
      </c>
      <c r="AA126" s="28" t="s">
        <v>1273</v>
      </c>
      <c r="AB126" s="28" t="s">
        <v>1273</v>
      </c>
      <c r="AC126" s="28" t="s">
        <v>1273</v>
      </c>
      <c r="AD126" s="28" t="s">
        <v>1273</v>
      </c>
      <c r="AE126" s="28" t="s">
        <v>1273</v>
      </c>
      <c r="AF126" s="28" t="s">
        <v>1273</v>
      </c>
      <c r="AG126" s="28" t="s">
        <v>1273</v>
      </c>
      <c r="AH126" s="28" t="s">
        <v>1273</v>
      </c>
      <c r="AI126" s="28" t="s">
        <v>1273</v>
      </c>
      <c r="AJ126" s="28" t="s">
        <v>1273</v>
      </c>
    </row>
    <row r="127" spans="1:36">
      <c r="A127" s="29" t="s">
        <v>1068</v>
      </c>
      <c r="B127" s="28" t="s">
        <v>1271</v>
      </c>
      <c r="C127" s="28" t="s">
        <v>1271</v>
      </c>
      <c r="D127" s="28" t="s">
        <v>1271</v>
      </c>
      <c r="E127" s="28" t="s">
        <v>1271</v>
      </c>
      <c r="F127" s="28" t="s">
        <v>1271</v>
      </c>
      <c r="G127" s="28" t="s">
        <v>1271</v>
      </c>
      <c r="H127" s="28" t="s">
        <v>1271</v>
      </c>
      <c r="I127" s="28" t="s">
        <v>1271</v>
      </c>
      <c r="J127" s="28" t="s">
        <v>1271</v>
      </c>
      <c r="K127" s="28" t="s">
        <v>1271</v>
      </c>
      <c r="L127" s="28" t="s">
        <v>1271</v>
      </c>
      <c r="M127" s="28" t="s">
        <v>1271</v>
      </c>
      <c r="N127" s="28" t="s">
        <v>1271</v>
      </c>
      <c r="O127" s="28" t="s">
        <v>1271</v>
      </c>
      <c r="P127" s="28" t="s">
        <v>1271</v>
      </c>
      <c r="Q127" s="28" t="s">
        <v>1271</v>
      </c>
      <c r="R127" s="28" t="s">
        <v>1271</v>
      </c>
      <c r="S127" s="28" t="s">
        <v>1271</v>
      </c>
      <c r="T127" s="28" t="s">
        <v>1271</v>
      </c>
      <c r="U127" s="28" t="s">
        <v>1271</v>
      </c>
      <c r="V127" s="28" t="s">
        <v>1271</v>
      </c>
      <c r="W127" s="28" t="s">
        <v>1271</v>
      </c>
      <c r="X127" s="28" t="s">
        <v>1271</v>
      </c>
      <c r="Y127" s="28" t="s">
        <v>1272</v>
      </c>
      <c r="Z127" s="28" t="s">
        <v>1271</v>
      </c>
      <c r="AA127" s="28" t="s">
        <v>1272</v>
      </c>
      <c r="AB127" s="28" t="s">
        <v>1272</v>
      </c>
      <c r="AC127" s="28" t="s">
        <v>1272</v>
      </c>
      <c r="AD127" s="28" t="s">
        <v>1272</v>
      </c>
      <c r="AE127" s="28" t="s">
        <v>1272</v>
      </c>
      <c r="AF127" s="28" t="s">
        <v>1272</v>
      </c>
      <c r="AG127" s="28" t="s">
        <v>1272</v>
      </c>
      <c r="AH127" s="28" t="s">
        <v>1272</v>
      </c>
      <c r="AI127" s="28" t="s">
        <v>1272</v>
      </c>
      <c r="AJ127" s="28" t="s">
        <v>1272</v>
      </c>
    </row>
    <row r="128" spans="1:36">
      <c r="A128" s="29" t="s">
        <v>1069</v>
      </c>
      <c r="B128" s="28" t="s">
        <v>1272</v>
      </c>
      <c r="C128" s="28" t="s">
        <v>1272</v>
      </c>
      <c r="D128" s="28" t="s">
        <v>1272</v>
      </c>
      <c r="E128" s="28" t="s">
        <v>1272</v>
      </c>
      <c r="F128" s="28" t="s">
        <v>1272</v>
      </c>
      <c r="G128" s="28" t="s">
        <v>1273</v>
      </c>
      <c r="H128" s="28" t="s">
        <v>1273</v>
      </c>
      <c r="I128" s="28" t="s">
        <v>1273</v>
      </c>
      <c r="J128" s="28" t="s">
        <v>1273</v>
      </c>
      <c r="K128" s="28" t="s">
        <v>1273</v>
      </c>
      <c r="L128" s="28" t="s">
        <v>1273</v>
      </c>
      <c r="M128" s="28" t="s">
        <v>1273</v>
      </c>
      <c r="N128" s="28" t="s">
        <v>1273</v>
      </c>
      <c r="O128" s="28" t="s">
        <v>1273</v>
      </c>
      <c r="P128" s="28" t="s">
        <v>1273</v>
      </c>
      <c r="Q128" s="28" t="s">
        <v>1273</v>
      </c>
      <c r="R128" s="28" t="s">
        <v>1273</v>
      </c>
      <c r="S128" s="28" t="s">
        <v>1273</v>
      </c>
      <c r="T128" s="28" t="s">
        <v>1273</v>
      </c>
      <c r="U128" s="28" t="s">
        <v>1273</v>
      </c>
      <c r="V128" s="28" t="s">
        <v>1273</v>
      </c>
      <c r="W128" s="28" t="s">
        <v>1273</v>
      </c>
      <c r="X128" s="28" t="s">
        <v>1273</v>
      </c>
      <c r="Y128" s="28" t="s">
        <v>1273</v>
      </c>
      <c r="Z128" s="28" t="s">
        <v>1273</v>
      </c>
      <c r="AA128" s="28" t="s">
        <v>1273</v>
      </c>
      <c r="AB128" s="28" t="s">
        <v>1273</v>
      </c>
      <c r="AC128" s="28" t="s">
        <v>1273</v>
      </c>
      <c r="AD128" s="28" t="s">
        <v>1273</v>
      </c>
      <c r="AE128" s="28" t="s">
        <v>1273</v>
      </c>
      <c r="AF128" s="28" t="s">
        <v>1273</v>
      </c>
      <c r="AG128" s="28" t="s">
        <v>1273</v>
      </c>
      <c r="AH128" s="28" t="s">
        <v>1274</v>
      </c>
      <c r="AI128" s="28" t="s">
        <v>1273</v>
      </c>
      <c r="AJ128" s="28" t="s">
        <v>1273</v>
      </c>
    </row>
    <row r="129" spans="1:36">
      <c r="A129" s="29" t="s">
        <v>537</v>
      </c>
      <c r="B129" s="28" t="s">
        <v>1272</v>
      </c>
      <c r="C129" s="28" t="s">
        <v>1272</v>
      </c>
      <c r="D129" s="28" t="s">
        <v>1272</v>
      </c>
      <c r="E129" s="28" t="s">
        <v>1273</v>
      </c>
      <c r="F129" s="28" t="s">
        <v>1273</v>
      </c>
      <c r="G129" s="28" t="s">
        <v>1273</v>
      </c>
      <c r="H129" s="28" t="s">
        <v>1273</v>
      </c>
      <c r="I129" s="28" t="s">
        <v>1273</v>
      </c>
      <c r="J129" s="28" t="s">
        <v>1273</v>
      </c>
      <c r="K129" s="28" t="s">
        <v>1273</v>
      </c>
      <c r="L129" s="28" t="s">
        <v>1273</v>
      </c>
      <c r="M129" s="28" t="s">
        <v>1273</v>
      </c>
      <c r="N129" s="28" t="s">
        <v>1273</v>
      </c>
      <c r="O129" s="28" t="s">
        <v>1273</v>
      </c>
      <c r="P129" s="28" t="s">
        <v>1273</v>
      </c>
      <c r="Q129" s="28" t="s">
        <v>1273</v>
      </c>
      <c r="R129" s="28" t="s">
        <v>1273</v>
      </c>
      <c r="S129" s="28" t="s">
        <v>1273</v>
      </c>
      <c r="T129" s="28" t="s">
        <v>1273</v>
      </c>
      <c r="U129" s="28" t="s">
        <v>1273</v>
      </c>
      <c r="V129" s="28" t="s">
        <v>1273</v>
      </c>
      <c r="W129" s="28" t="s">
        <v>1273</v>
      </c>
      <c r="X129" s="28" t="s">
        <v>1273</v>
      </c>
      <c r="Y129" s="28" t="s">
        <v>1273</v>
      </c>
      <c r="Z129" s="28" t="s">
        <v>1273</v>
      </c>
      <c r="AA129" s="28" t="s">
        <v>1273</v>
      </c>
      <c r="AB129" s="28" t="s">
        <v>1273</v>
      </c>
      <c r="AC129" s="28" t="s">
        <v>1273</v>
      </c>
      <c r="AD129" s="28" t="s">
        <v>1273</v>
      </c>
      <c r="AE129" s="28" t="s">
        <v>1273</v>
      </c>
      <c r="AF129" s="28" t="s">
        <v>1273</v>
      </c>
      <c r="AG129" s="28" t="s">
        <v>1273</v>
      </c>
      <c r="AH129" s="28" t="s">
        <v>1273</v>
      </c>
      <c r="AI129" s="28" t="s">
        <v>1273</v>
      </c>
      <c r="AJ129" s="28" t="s">
        <v>1273</v>
      </c>
    </row>
    <row r="130" spans="1:36">
      <c r="A130" s="29" t="s">
        <v>1127</v>
      </c>
      <c r="B130" s="28" t="s">
        <v>1210</v>
      </c>
      <c r="C130" s="28" t="s">
        <v>1210</v>
      </c>
      <c r="D130" s="28" t="s">
        <v>1210</v>
      </c>
      <c r="E130" s="28" t="s">
        <v>1210</v>
      </c>
      <c r="F130" s="28" t="s">
        <v>1272</v>
      </c>
      <c r="G130" s="28" t="s">
        <v>1272</v>
      </c>
      <c r="H130" s="28" t="s">
        <v>1272</v>
      </c>
      <c r="I130" s="28" t="s">
        <v>1272</v>
      </c>
      <c r="J130" s="28" t="s">
        <v>1272</v>
      </c>
      <c r="K130" s="28" t="s">
        <v>1272</v>
      </c>
      <c r="L130" s="28" t="s">
        <v>1272</v>
      </c>
      <c r="M130" s="28" t="s">
        <v>1272</v>
      </c>
      <c r="N130" s="28" t="s">
        <v>1272</v>
      </c>
      <c r="O130" s="28" t="s">
        <v>1272</v>
      </c>
      <c r="P130" s="28" t="s">
        <v>1272</v>
      </c>
      <c r="Q130" s="28" t="s">
        <v>1272</v>
      </c>
      <c r="R130" s="28" t="s">
        <v>1272</v>
      </c>
      <c r="S130" s="28" t="s">
        <v>1272</v>
      </c>
      <c r="T130" s="28" t="s">
        <v>1272</v>
      </c>
      <c r="U130" s="28" t="s">
        <v>1272</v>
      </c>
      <c r="V130" s="28" t="s">
        <v>1272</v>
      </c>
      <c r="W130" s="28" t="s">
        <v>1272</v>
      </c>
      <c r="X130" s="28" t="s">
        <v>1272</v>
      </c>
      <c r="Y130" s="28" t="s">
        <v>1272</v>
      </c>
      <c r="Z130" s="28" t="s">
        <v>1272</v>
      </c>
      <c r="AA130" s="28" t="s">
        <v>1272</v>
      </c>
      <c r="AB130" s="28" t="s">
        <v>1272</v>
      </c>
      <c r="AC130" s="28" t="s">
        <v>1272</v>
      </c>
      <c r="AD130" s="28" t="s">
        <v>1272</v>
      </c>
      <c r="AE130" s="28" t="s">
        <v>1272</v>
      </c>
      <c r="AF130" s="28" t="s">
        <v>1272</v>
      </c>
      <c r="AG130" s="28" t="s">
        <v>1272</v>
      </c>
      <c r="AH130" s="28" t="s">
        <v>1272</v>
      </c>
      <c r="AI130" s="28" t="s">
        <v>1272</v>
      </c>
      <c r="AJ130" s="28" t="s">
        <v>1272</v>
      </c>
    </row>
    <row r="131" spans="1:36">
      <c r="A131" s="29" t="s">
        <v>1070</v>
      </c>
      <c r="B131" s="28" t="s">
        <v>1210</v>
      </c>
      <c r="C131" s="28" t="s">
        <v>1210</v>
      </c>
      <c r="D131" s="28" t="s">
        <v>1210</v>
      </c>
      <c r="E131" s="28" t="s">
        <v>1210</v>
      </c>
      <c r="F131" s="28" t="s">
        <v>1272</v>
      </c>
      <c r="G131" s="28" t="s">
        <v>1272</v>
      </c>
      <c r="H131" s="28" t="s">
        <v>1272</v>
      </c>
      <c r="I131" s="28" t="s">
        <v>1272</v>
      </c>
      <c r="J131" s="28" t="s">
        <v>1272</v>
      </c>
      <c r="K131" s="28" t="s">
        <v>1271</v>
      </c>
      <c r="L131" s="28" t="s">
        <v>1271</v>
      </c>
      <c r="M131" s="28" t="s">
        <v>1271</v>
      </c>
      <c r="N131" s="28" t="s">
        <v>1271</v>
      </c>
      <c r="O131" s="28" t="s">
        <v>1271</v>
      </c>
      <c r="P131" s="28" t="s">
        <v>1271</v>
      </c>
      <c r="Q131" s="28" t="s">
        <v>1271</v>
      </c>
      <c r="R131" s="28" t="s">
        <v>1271</v>
      </c>
      <c r="S131" s="28" t="s">
        <v>1271</v>
      </c>
      <c r="T131" s="28" t="s">
        <v>1272</v>
      </c>
      <c r="U131" s="28" t="s">
        <v>1272</v>
      </c>
      <c r="V131" s="28" t="s">
        <v>1272</v>
      </c>
      <c r="W131" s="28" t="s">
        <v>1272</v>
      </c>
      <c r="X131" s="28" t="s">
        <v>1272</v>
      </c>
      <c r="Y131" s="28" t="s">
        <v>1272</v>
      </c>
      <c r="Z131" s="28" t="s">
        <v>1272</v>
      </c>
      <c r="AA131" s="28" t="s">
        <v>1272</v>
      </c>
      <c r="AB131" s="28" t="s">
        <v>1272</v>
      </c>
      <c r="AC131" s="28" t="s">
        <v>1272</v>
      </c>
      <c r="AD131" s="28" t="s">
        <v>1272</v>
      </c>
      <c r="AE131" s="28" t="s">
        <v>1272</v>
      </c>
      <c r="AF131" s="28" t="s">
        <v>1272</v>
      </c>
      <c r="AG131" s="28" t="s">
        <v>1272</v>
      </c>
      <c r="AH131" s="28" t="s">
        <v>1272</v>
      </c>
      <c r="AI131" s="28" t="s">
        <v>1273</v>
      </c>
      <c r="AJ131" s="28" t="s">
        <v>1273</v>
      </c>
    </row>
    <row r="132" spans="1:36">
      <c r="A132" s="29" t="s">
        <v>1187</v>
      </c>
      <c r="B132" s="28" t="s">
        <v>1210</v>
      </c>
      <c r="C132" s="28" t="s">
        <v>1210</v>
      </c>
      <c r="D132" s="28" t="s">
        <v>1210</v>
      </c>
      <c r="E132" s="28" t="s">
        <v>1210</v>
      </c>
      <c r="F132" s="28" t="s">
        <v>1210</v>
      </c>
      <c r="G132" s="28" t="s">
        <v>1210</v>
      </c>
      <c r="H132" s="28" t="s">
        <v>1210</v>
      </c>
      <c r="I132" s="28" t="s">
        <v>1274</v>
      </c>
      <c r="J132" s="28" t="s">
        <v>1274</v>
      </c>
      <c r="K132" s="28" t="s">
        <v>1274</v>
      </c>
      <c r="L132" s="28" t="s">
        <v>1274</v>
      </c>
      <c r="M132" s="28" t="s">
        <v>1274</v>
      </c>
      <c r="N132" s="28" t="s">
        <v>1274</v>
      </c>
      <c r="O132" s="28" t="s">
        <v>1274</v>
      </c>
      <c r="P132" s="28" t="s">
        <v>1274</v>
      </c>
      <c r="Q132" s="28" t="s">
        <v>1274</v>
      </c>
      <c r="R132" s="28" t="s">
        <v>1274</v>
      </c>
      <c r="S132" s="28" t="s">
        <v>1274</v>
      </c>
      <c r="T132" s="28" t="s">
        <v>1274</v>
      </c>
      <c r="U132" s="28" t="s">
        <v>1274</v>
      </c>
      <c r="V132" s="28" t="s">
        <v>1274</v>
      </c>
      <c r="W132" s="28" t="s">
        <v>1274</v>
      </c>
      <c r="X132" s="28" t="s">
        <v>1274</v>
      </c>
      <c r="Y132" s="28" t="s">
        <v>1274</v>
      </c>
      <c r="Z132" s="28" t="s">
        <v>1274</v>
      </c>
      <c r="AA132" s="28" t="s">
        <v>1274</v>
      </c>
      <c r="AB132" s="28" t="s">
        <v>1274</v>
      </c>
      <c r="AC132" s="28" t="s">
        <v>1274</v>
      </c>
      <c r="AD132" s="28" t="s">
        <v>1274</v>
      </c>
      <c r="AE132" s="28" t="s">
        <v>1274</v>
      </c>
      <c r="AF132" s="28" t="s">
        <v>1274</v>
      </c>
      <c r="AG132" s="28" t="s">
        <v>1274</v>
      </c>
      <c r="AH132" s="28" t="s">
        <v>1274</v>
      </c>
      <c r="AI132" s="28" t="s">
        <v>1274</v>
      </c>
      <c r="AJ132" s="28" t="s">
        <v>1274</v>
      </c>
    </row>
    <row r="133" spans="1:36">
      <c r="A133" s="29" t="s">
        <v>307</v>
      </c>
      <c r="B133" s="28" t="s">
        <v>1210</v>
      </c>
      <c r="C133" s="28" t="s">
        <v>1210</v>
      </c>
      <c r="D133" s="28" t="s">
        <v>1272</v>
      </c>
      <c r="E133" s="28" t="s">
        <v>1272</v>
      </c>
      <c r="F133" s="28" t="s">
        <v>1272</v>
      </c>
      <c r="G133" s="28" t="s">
        <v>1272</v>
      </c>
      <c r="H133" s="28" t="s">
        <v>1271</v>
      </c>
      <c r="I133" s="28" t="s">
        <v>1271</v>
      </c>
      <c r="J133" s="28" t="s">
        <v>1271</v>
      </c>
      <c r="K133" s="28" t="s">
        <v>1271</v>
      </c>
      <c r="L133" s="28" t="s">
        <v>1271</v>
      </c>
      <c r="M133" s="28" t="s">
        <v>1271</v>
      </c>
      <c r="N133" s="28" t="s">
        <v>1271</v>
      </c>
      <c r="O133" s="28" t="s">
        <v>1271</v>
      </c>
      <c r="P133" s="28" t="s">
        <v>1271</v>
      </c>
      <c r="Q133" s="28" t="s">
        <v>1271</v>
      </c>
      <c r="R133" s="28" t="s">
        <v>1271</v>
      </c>
      <c r="S133" s="28" t="s">
        <v>1271</v>
      </c>
      <c r="T133" s="28" t="s">
        <v>1271</v>
      </c>
      <c r="U133" s="28" t="s">
        <v>1271</v>
      </c>
      <c r="V133" s="28" t="s">
        <v>1272</v>
      </c>
      <c r="W133" s="28" t="s">
        <v>1272</v>
      </c>
      <c r="X133" s="28" t="s">
        <v>1272</v>
      </c>
      <c r="Y133" s="28" t="s">
        <v>1272</v>
      </c>
      <c r="Z133" s="28" t="s">
        <v>1272</v>
      </c>
      <c r="AA133" s="28" t="s">
        <v>1272</v>
      </c>
      <c r="AB133" s="28" t="s">
        <v>1272</v>
      </c>
      <c r="AC133" s="28" t="s">
        <v>1273</v>
      </c>
      <c r="AD133" s="28" t="s">
        <v>1272</v>
      </c>
      <c r="AE133" s="28" t="s">
        <v>1272</v>
      </c>
      <c r="AF133" s="28" t="s">
        <v>1272</v>
      </c>
      <c r="AG133" s="28" t="s">
        <v>1272</v>
      </c>
      <c r="AH133" s="28" t="s">
        <v>1272</v>
      </c>
      <c r="AI133" s="28" t="s">
        <v>1272</v>
      </c>
      <c r="AJ133" s="28" t="s">
        <v>1272</v>
      </c>
    </row>
    <row r="134" spans="1:36">
      <c r="A134" s="29" t="s">
        <v>1128</v>
      </c>
      <c r="B134" s="28" t="s">
        <v>1210</v>
      </c>
      <c r="C134" s="28" t="s">
        <v>1210</v>
      </c>
      <c r="D134" s="28" t="s">
        <v>1210</v>
      </c>
      <c r="E134" s="28" t="s">
        <v>1210</v>
      </c>
      <c r="F134" s="28" t="s">
        <v>1210</v>
      </c>
      <c r="G134" s="28" t="s">
        <v>1210</v>
      </c>
      <c r="H134" s="28" t="s">
        <v>1210</v>
      </c>
      <c r="I134" s="28" t="s">
        <v>1210</v>
      </c>
      <c r="J134" s="28" t="s">
        <v>1210</v>
      </c>
      <c r="K134" s="28" t="s">
        <v>1210</v>
      </c>
      <c r="L134" s="28" t="s">
        <v>1210</v>
      </c>
      <c r="M134" s="28" t="s">
        <v>1210</v>
      </c>
      <c r="N134" s="28" t="s">
        <v>1210</v>
      </c>
      <c r="O134" s="28" t="s">
        <v>1210</v>
      </c>
      <c r="P134" s="28" t="s">
        <v>1210</v>
      </c>
      <c r="Q134" s="28" t="s">
        <v>1210</v>
      </c>
      <c r="R134" s="28" t="s">
        <v>1210</v>
      </c>
      <c r="S134" s="28" t="s">
        <v>1210</v>
      </c>
      <c r="T134" s="28" t="s">
        <v>1210</v>
      </c>
      <c r="U134" s="28" t="s">
        <v>1273</v>
      </c>
      <c r="V134" s="28" t="s">
        <v>1273</v>
      </c>
      <c r="W134" s="28" t="s">
        <v>1273</v>
      </c>
      <c r="X134" s="28" t="s">
        <v>1273</v>
      </c>
      <c r="Y134" s="28" t="s">
        <v>1273</v>
      </c>
      <c r="Z134" s="28" t="s">
        <v>1273</v>
      </c>
      <c r="AA134" s="28" t="s">
        <v>1273</v>
      </c>
      <c r="AB134" s="28" t="s">
        <v>1273</v>
      </c>
      <c r="AC134" s="28" t="s">
        <v>1273</v>
      </c>
      <c r="AD134" s="28" t="s">
        <v>1273</v>
      </c>
      <c r="AE134" s="28" t="s">
        <v>1273</v>
      </c>
      <c r="AF134" s="28" t="s">
        <v>1273</v>
      </c>
      <c r="AG134" s="28" t="s">
        <v>1273</v>
      </c>
      <c r="AH134" s="28" t="s">
        <v>1273</v>
      </c>
      <c r="AI134" s="28" t="s">
        <v>1273</v>
      </c>
      <c r="AJ134" s="28" t="s">
        <v>1273</v>
      </c>
    </row>
    <row r="135" spans="1:36">
      <c r="A135" s="29" t="s">
        <v>1072</v>
      </c>
      <c r="B135" s="28" t="s">
        <v>1272</v>
      </c>
      <c r="C135" s="28" t="s">
        <v>1272</v>
      </c>
      <c r="D135" s="28" t="s">
        <v>1272</v>
      </c>
      <c r="E135" s="28" t="s">
        <v>1272</v>
      </c>
      <c r="F135" s="28" t="s">
        <v>1272</v>
      </c>
      <c r="G135" s="28" t="s">
        <v>1272</v>
      </c>
      <c r="H135" s="28" t="s">
        <v>1272</v>
      </c>
      <c r="I135" s="28" t="s">
        <v>1272</v>
      </c>
      <c r="J135" s="28" t="s">
        <v>1272</v>
      </c>
      <c r="K135" s="28" t="s">
        <v>1272</v>
      </c>
      <c r="L135" s="28" t="s">
        <v>1272</v>
      </c>
      <c r="M135" s="28" t="s">
        <v>1272</v>
      </c>
      <c r="N135" s="28" t="s">
        <v>1272</v>
      </c>
      <c r="O135" s="28" t="s">
        <v>1272</v>
      </c>
      <c r="P135" s="28" t="s">
        <v>1272</v>
      </c>
      <c r="Q135" s="28" t="s">
        <v>1272</v>
      </c>
      <c r="R135" s="28" t="s">
        <v>1272</v>
      </c>
      <c r="S135" s="28" t="s">
        <v>1272</v>
      </c>
      <c r="T135" s="28" t="s">
        <v>1272</v>
      </c>
      <c r="U135" s="28" t="s">
        <v>1272</v>
      </c>
      <c r="V135" s="28" t="s">
        <v>1272</v>
      </c>
      <c r="W135" s="28" t="s">
        <v>1272</v>
      </c>
      <c r="X135" s="28" t="s">
        <v>1272</v>
      </c>
      <c r="Y135" s="28" t="s">
        <v>1272</v>
      </c>
      <c r="Z135" s="28" t="s">
        <v>1272</v>
      </c>
      <c r="AA135" s="28" t="s">
        <v>1272</v>
      </c>
      <c r="AB135" s="28" t="s">
        <v>1272</v>
      </c>
      <c r="AC135" s="28" t="s">
        <v>1272</v>
      </c>
      <c r="AD135" s="28" t="s">
        <v>1272</v>
      </c>
      <c r="AE135" s="28" t="s">
        <v>1272</v>
      </c>
      <c r="AF135" s="28" t="s">
        <v>1272</v>
      </c>
      <c r="AG135" s="28" t="s">
        <v>1272</v>
      </c>
      <c r="AH135" s="28" t="s">
        <v>1272</v>
      </c>
      <c r="AI135" s="28" t="s">
        <v>1272</v>
      </c>
      <c r="AJ135" s="28" t="s">
        <v>1272</v>
      </c>
    </row>
    <row r="136" spans="1:36">
      <c r="A136" s="29" t="s">
        <v>1074</v>
      </c>
      <c r="B136" s="28" t="s">
        <v>1271</v>
      </c>
      <c r="C136" s="28" t="s">
        <v>1271</v>
      </c>
      <c r="D136" s="28" t="s">
        <v>1271</v>
      </c>
      <c r="E136" s="28" t="s">
        <v>1271</v>
      </c>
      <c r="F136" s="28" t="s">
        <v>1271</v>
      </c>
      <c r="G136" s="28" t="s">
        <v>1271</v>
      </c>
      <c r="H136" s="28" t="s">
        <v>1271</v>
      </c>
      <c r="I136" s="28" t="s">
        <v>1271</v>
      </c>
      <c r="J136" s="28" t="s">
        <v>1271</v>
      </c>
      <c r="K136" s="28" t="s">
        <v>1271</v>
      </c>
      <c r="L136" s="28" t="s">
        <v>1271</v>
      </c>
      <c r="M136" s="28" t="s">
        <v>1271</v>
      </c>
      <c r="N136" s="28" t="s">
        <v>1271</v>
      </c>
      <c r="O136" s="28" t="s">
        <v>1271</v>
      </c>
      <c r="P136" s="28" t="s">
        <v>1271</v>
      </c>
      <c r="Q136" s="28" t="s">
        <v>1271</v>
      </c>
      <c r="R136" s="28" t="s">
        <v>1271</v>
      </c>
      <c r="S136" s="28" t="s">
        <v>1271</v>
      </c>
      <c r="T136" s="28" t="s">
        <v>1271</v>
      </c>
      <c r="U136" s="28" t="s">
        <v>1271</v>
      </c>
      <c r="V136" s="28" t="s">
        <v>1271</v>
      </c>
      <c r="W136" s="28" t="s">
        <v>1271</v>
      </c>
      <c r="X136" s="28" t="s">
        <v>1271</v>
      </c>
      <c r="Y136" s="28" t="s">
        <v>1271</v>
      </c>
      <c r="Z136" s="28" t="s">
        <v>1271</v>
      </c>
      <c r="AA136" s="28" t="s">
        <v>1271</v>
      </c>
      <c r="AB136" s="28" t="s">
        <v>1271</v>
      </c>
      <c r="AC136" s="28" t="s">
        <v>1271</v>
      </c>
      <c r="AD136" s="28" t="s">
        <v>1271</v>
      </c>
      <c r="AE136" s="28" t="s">
        <v>1271</v>
      </c>
      <c r="AF136" s="28" t="s">
        <v>1271</v>
      </c>
      <c r="AG136" s="28" t="s">
        <v>1271</v>
      </c>
      <c r="AH136" s="28" t="s">
        <v>1271</v>
      </c>
      <c r="AI136" s="28" t="s">
        <v>1271</v>
      </c>
      <c r="AJ136" s="28" t="s">
        <v>1271</v>
      </c>
    </row>
    <row r="137" spans="1:36">
      <c r="A137" s="29" t="s">
        <v>1190</v>
      </c>
      <c r="B137" s="28" t="s">
        <v>1271</v>
      </c>
      <c r="C137" s="28" t="s">
        <v>1271</v>
      </c>
      <c r="D137" s="28" t="s">
        <v>1271</v>
      </c>
      <c r="E137" s="28" t="s">
        <v>1271</v>
      </c>
      <c r="F137" s="28" t="s">
        <v>1271</v>
      </c>
      <c r="G137" s="28" t="s">
        <v>1271</v>
      </c>
      <c r="H137" s="28" t="s">
        <v>1271</v>
      </c>
      <c r="I137" s="28" t="s">
        <v>1271</v>
      </c>
      <c r="J137" s="28" t="s">
        <v>1271</v>
      </c>
      <c r="K137" s="28" t="s">
        <v>1271</v>
      </c>
      <c r="L137" s="28" t="s">
        <v>1271</v>
      </c>
      <c r="M137" s="28" t="s">
        <v>1271</v>
      </c>
      <c r="N137" s="28" t="s">
        <v>1271</v>
      </c>
      <c r="O137" s="28" t="s">
        <v>1271</v>
      </c>
      <c r="P137" s="28" t="s">
        <v>1271</v>
      </c>
      <c r="Q137" s="28" t="s">
        <v>1271</v>
      </c>
      <c r="R137" s="28" t="s">
        <v>1271</v>
      </c>
      <c r="S137" s="28" t="s">
        <v>1271</v>
      </c>
      <c r="T137" s="28" t="s">
        <v>1271</v>
      </c>
      <c r="U137" s="28" t="s">
        <v>1271</v>
      </c>
      <c r="V137" s="28" t="s">
        <v>1271</v>
      </c>
      <c r="W137" s="28" t="s">
        <v>1271</v>
      </c>
      <c r="X137" s="28" t="s">
        <v>1271</v>
      </c>
      <c r="Y137" s="28" t="s">
        <v>1271</v>
      </c>
      <c r="Z137" s="28" t="s">
        <v>1271</v>
      </c>
      <c r="AA137" s="28" t="s">
        <v>1271</v>
      </c>
      <c r="AB137" s="28" t="s">
        <v>1271</v>
      </c>
      <c r="AC137" s="28" t="s">
        <v>1272</v>
      </c>
      <c r="AD137" s="28" t="s">
        <v>1272</v>
      </c>
      <c r="AE137" s="28" t="s">
        <v>1272</v>
      </c>
      <c r="AF137" s="28" t="s">
        <v>1272</v>
      </c>
      <c r="AG137" s="28" t="s">
        <v>1272</v>
      </c>
      <c r="AH137" s="28" t="s">
        <v>1272</v>
      </c>
      <c r="AI137" s="28" t="s">
        <v>1272</v>
      </c>
      <c r="AJ137" s="28" t="s">
        <v>1272</v>
      </c>
    </row>
    <row r="138" spans="1:36">
      <c r="A138" s="29" t="s">
        <v>1076</v>
      </c>
      <c r="B138" s="28" t="s">
        <v>1210</v>
      </c>
      <c r="C138" s="28" t="s">
        <v>1210</v>
      </c>
      <c r="D138" s="28" t="s">
        <v>1272</v>
      </c>
      <c r="E138" s="28" t="s">
        <v>1272</v>
      </c>
      <c r="F138" s="28" t="s">
        <v>1272</v>
      </c>
      <c r="G138" s="28" t="s">
        <v>1272</v>
      </c>
      <c r="H138" s="28" t="s">
        <v>1272</v>
      </c>
      <c r="I138" s="28" t="s">
        <v>1272</v>
      </c>
      <c r="J138" s="28" t="s">
        <v>1272</v>
      </c>
      <c r="K138" s="28" t="s">
        <v>1272</v>
      </c>
      <c r="L138" s="28" t="s">
        <v>1272</v>
      </c>
      <c r="M138" s="28" t="s">
        <v>1272</v>
      </c>
      <c r="N138" s="28" t="s">
        <v>1272</v>
      </c>
      <c r="O138" s="28" t="s">
        <v>1272</v>
      </c>
      <c r="P138" s="28" t="s">
        <v>1272</v>
      </c>
      <c r="Q138" s="28" t="s">
        <v>1272</v>
      </c>
      <c r="R138" s="28" t="s">
        <v>1272</v>
      </c>
      <c r="S138" s="28" t="s">
        <v>1272</v>
      </c>
      <c r="T138" s="28" t="s">
        <v>1272</v>
      </c>
      <c r="U138" s="28" t="s">
        <v>1272</v>
      </c>
      <c r="V138" s="28" t="s">
        <v>1272</v>
      </c>
      <c r="W138" s="28" t="s">
        <v>1273</v>
      </c>
      <c r="X138" s="28" t="s">
        <v>1273</v>
      </c>
      <c r="Y138" s="28" t="s">
        <v>1273</v>
      </c>
      <c r="Z138" s="28" t="s">
        <v>1273</v>
      </c>
      <c r="AA138" s="28" t="s">
        <v>1273</v>
      </c>
      <c r="AB138" s="28" t="s">
        <v>1273</v>
      </c>
      <c r="AC138" s="28" t="s">
        <v>1273</v>
      </c>
      <c r="AD138" s="28" t="s">
        <v>1273</v>
      </c>
      <c r="AE138" s="28" t="s">
        <v>1273</v>
      </c>
      <c r="AF138" s="28" t="s">
        <v>1273</v>
      </c>
      <c r="AG138" s="28" t="s">
        <v>1273</v>
      </c>
      <c r="AH138" s="28" t="s">
        <v>1273</v>
      </c>
      <c r="AI138" s="28" t="s">
        <v>1273</v>
      </c>
      <c r="AJ138" s="28" t="s">
        <v>1273</v>
      </c>
    </row>
    <row r="139" spans="1:36">
      <c r="A139" s="29" t="s">
        <v>1194</v>
      </c>
      <c r="B139" s="28" t="s">
        <v>1210</v>
      </c>
      <c r="C139" s="28" t="s">
        <v>1210</v>
      </c>
      <c r="D139" s="28" t="s">
        <v>1210</v>
      </c>
      <c r="E139" s="28" t="s">
        <v>1210</v>
      </c>
      <c r="F139" s="28" t="s">
        <v>1210</v>
      </c>
      <c r="G139" s="28" t="s">
        <v>1210</v>
      </c>
      <c r="H139" s="28" t="s">
        <v>1210</v>
      </c>
      <c r="I139" s="28" t="s">
        <v>1210</v>
      </c>
      <c r="J139" s="28" t="s">
        <v>1210</v>
      </c>
      <c r="K139" s="28" t="s">
        <v>1210</v>
      </c>
      <c r="L139" s="28" t="s">
        <v>1210</v>
      </c>
      <c r="M139" s="28" t="s">
        <v>1210</v>
      </c>
      <c r="N139" s="28" t="s">
        <v>1210</v>
      </c>
      <c r="O139" s="28" t="s">
        <v>1210</v>
      </c>
      <c r="P139" s="28" t="s">
        <v>1210</v>
      </c>
      <c r="Q139" s="28" t="s">
        <v>1210</v>
      </c>
      <c r="R139" s="28" t="s">
        <v>1210</v>
      </c>
      <c r="S139" s="28" t="s">
        <v>1210</v>
      </c>
      <c r="T139" s="28" t="s">
        <v>1210</v>
      </c>
      <c r="U139" s="28" t="s">
        <v>1210</v>
      </c>
      <c r="V139" s="28" t="s">
        <v>1210</v>
      </c>
      <c r="W139" s="28" t="s">
        <v>1210</v>
      </c>
      <c r="X139" s="28" t="s">
        <v>1210</v>
      </c>
      <c r="Y139" s="28" t="s">
        <v>1210</v>
      </c>
      <c r="Z139" s="28" t="s">
        <v>1210</v>
      </c>
      <c r="AA139" s="28" t="s">
        <v>1210</v>
      </c>
      <c r="AB139" s="28" t="s">
        <v>1210</v>
      </c>
      <c r="AC139" s="28" t="s">
        <v>1210</v>
      </c>
      <c r="AD139" s="28" t="s">
        <v>1274</v>
      </c>
      <c r="AE139" s="28" t="s">
        <v>1273</v>
      </c>
      <c r="AF139" s="28" t="s">
        <v>1273</v>
      </c>
      <c r="AG139" s="28" t="s">
        <v>1273</v>
      </c>
      <c r="AH139" s="28" t="s">
        <v>1274</v>
      </c>
      <c r="AI139" s="28" t="s">
        <v>1274</v>
      </c>
      <c r="AJ139" s="28" t="s">
        <v>1274</v>
      </c>
    </row>
    <row r="140" spans="1:36">
      <c r="A140" s="29" t="s">
        <v>1077</v>
      </c>
      <c r="B140" s="28" t="s">
        <v>1271</v>
      </c>
      <c r="C140" s="28" t="s">
        <v>1271</v>
      </c>
      <c r="D140" s="28" t="s">
        <v>1271</v>
      </c>
      <c r="E140" s="28" t="s">
        <v>1271</v>
      </c>
      <c r="F140" s="28" t="s">
        <v>1271</v>
      </c>
      <c r="G140" s="28" t="s">
        <v>1271</v>
      </c>
      <c r="H140" s="28" t="s">
        <v>1271</v>
      </c>
      <c r="I140" s="28" t="s">
        <v>1271</v>
      </c>
      <c r="J140" s="28" t="s">
        <v>1271</v>
      </c>
      <c r="K140" s="28" t="s">
        <v>1271</v>
      </c>
      <c r="L140" s="28" t="s">
        <v>1271</v>
      </c>
      <c r="M140" s="28" t="s">
        <v>1271</v>
      </c>
      <c r="N140" s="28" t="s">
        <v>1271</v>
      </c>
      <c r="O140" s="28" t="s">
        <v>1271</v>
      </c>
      <c r="P140" s="28" t="s">
        <v>1271</v>
      </c>
      <c r="Q140" s="28" t="s">
        <v>1271</v>
      </c>
      <c r="R140" s="28" t="s">
        <v>1271</v>
      </c>
      <c r="S140" s="28" t="s">
        <v>1271</v>
      </c>
      <c r="T140" s="28" t="s">
        <v>1271</v>
      </c>
      <c r="U140" s="28" t="s">
        <v>1271</v>
      </c>
      <c r="V140" s="28" t="s">
        <v>1271</v>
      </c>
      <c r="W140" s="28" t="s">
        <v>1271</v>
      </c>
      <c r="X140" s="28" t="s">
        <v>1271</v>
      </c>
      <c r="Y140" s="28" t="s">
        <v>1271</v>
      </c>
      <c r="Z140" s="28" t="s">
        <v>1271</v>
      </c>
      <c r="AA140" s="28" t="s">
        <v>1271</v>
      </c>
      <c r="AB140" s="28" t="s">
        <v>1271</v>
      </c>
      <c r="AC140" s="28" t="s">
        <v>1271</v>
      </c>
      <c r="AD140" s="28" t="s">
        <v>1271</v>
      </c>
      <c r="AE140" s="28" t="s">
        <v>1271</v>
      </c>
      <c r="AF140" s="28" t="s">
        <v>1271</v>
      </c>
      <c r="AG140" s="28" t="s">
        <v>1271</v>
      </c>
      <c r="AH140" s="28" t="s">
        <v>1272</v>
      </c>
      <c r="AI140" s="28" t="s">
        <v>1272</v>
      </c>
      <c r="AJ140" s="28" t="s">
        <v>1272</v>
      </c>
    </row>
    <row r="141" spans="1:36">
      <c r="A141" s="29" t="s">
        <v>1129</v>
      </c>
      <c r="B141" s="28" t="s">
        <v>1274</v>
      </c>
      <c r="C141" s="28" t="s">
        <v>1274</v>
      </c>
      <c r="D141" s="28" t="s">
        <v>1274</v>
      </c>
      <c r="E141" s="28" t="s">
        <v>1274</v>
      </c>
      <c r="F141" s="28" t="s">
        <v>1274</v>
      </c>
      <c r="G141" s="28" t="s">
        <v>1274</v>
      </c>
      <c r="H141" s="28" t="s">
        <v>1274</v>
      </c>
      <c r="I141" s="28" t="s">
        <v>1274</v>
      </c>
      <c r="J141" s="28" t="s">
        <v>1274</v>
      </c>
      <c r="K141" s="28" t="s">
        <v>1274</v>
      </c>
      <c r="L141" s="28" t="s">
        <v>1274</v>
      </c>
      <c r="M141" s="28" t="s">
        <v>1274</v>
      </c>
      <c r="N141" s="28" t="s">
        <v>1274</v>
      </c>
      <c r="O141" s="28" t="s">
        <v>1274</v>
      </c>
      <c r="P141" s="28" t="s">
        <v>1274</v>
      </c>
      <c r="Q141" s="28" t="s">
        <v>1274</v>
      </c>
      <c r="R141" s="28" t="s">
        <v>1274</v>
      </c>
      <c r="S141" s="28" t="s">
        <v>1274</v>
      </c>
      <c r="T141" s="28" t="s">
        <v>1274</v>
      </c>
      <c r="U141" s="28" t="s">
        <v>1274</v>
      </c>
      <c r="V141" s="28" t="s">
        <v>1274</v>
      </c>
      <c r="W141" s="28" t="s">
        <v>1274</v>
      </c>
      <c r="X141" s="28" t="s">
        <v>1274</v>
      </c>
      <c r="Y141" s="28" t="s">
        <v>1274</v>
      </c>
      <c r="Z141" s="28" t="s">
        <v>1274</v>
      </c>
      <c r="AA141" s="28" t="s">
        <v>1274</v>
      </c>
      <c r="AB141" s="28" t="s">
        <v>1274</v>
      </c>
      <c r="AC141" s="28" t="s">
        <v>1274</v>
      </c>
      <c r="AD141" s="28" t="s">
        <v>1274</v>
      </c>
      <c r="AE141" s="28" t="s">
        <v>1274</v>
      </c>
      <c r="AF141" s="28" t="s">
        <v>1274</v>
      </c>
      <c r="AG141" s="28" t="s">
        <v>1274</v>
      </c>
      <c r="AH141" s="28" t="s">
        <v>1274</v>
      </c>
      <c r="AI141" s="28" t="s">
        <v>1274</v>
      </c>
      <c r="AJ141" s="28" t="s">
        <v>1274</v>
      </c>
    </row>
    <row r="142" spans="1:36">
      <c r="A142" s="29" t="s">
        <v>1193</v>
      </c>
      <c r="B142" s="28" t="s">
        <v>1273</v>
      </c>
      <c r="C142" s="28" t="s">
        <v>1273</v>
      </c>
      <c r="D142" s="28" t="s">
        <v>1273</v>
      </c>
      <c r="E142" s="28" t="s">
        <v>1273</v>
      </c>
      <c r="F142" s="28" t="s">
        <v>1273</v>
      </c>
      <c r="G142" s="28" t="s">
        <v>1273</v>
      </c>
      <c r="H142" s="28" t="s">
        <v>1273</v>
      </c>
      <c r="I142" s="28" t="s">
        <v>1273</v>
      </c>
      <c r="J142" s="28" t="s">
        <v>1274</v>
      </c>
      <c r="K142" s="28" t="s">
        <v>1274</v>
      </c>
      <c r="L142" s="28" t="s">
        <v>1274</v>
      </c>
      <c r="M142" s="28" t="s">
        <v>1274</v>
      </c>
      <c r="N142" s="28" t="s">
        <v>1274</v>
      </c>
      <c r="O142" s="28" t="s">
        <v>1274</v>
      </c>
      <c r="P142" s="28" t="s">
        <v>1274</v>
      </c>
      <c r="Q142" s="28" t="s">
        <v>1274</v>
      </c>
      <c r="R142" s="28" t="s">
        <v>1274</v>
      </c>
      <c r="S142" s="28" t="s">
        <v>1274</v>
      </c>
      <c r="T142" s="28" t="s">
        <v>1274</v>
      </c>
      <c r="U142" s="28" t="s">
        <v>1274</v>
      </c>
      <c r="V142" s="28" t="s">
        <v>1274</v>
      </c>
      <c r="W142" s="28" t="s">
        <v>1274</v>
      </c>
      <c r="X142" s="28" t="s">
        <v>1274</v>
      </c>
      <c r="Y142" s="28" t="s">
        <v>1274</v>
      </c>
      <c r="Z142" s="28" t="s">
        <v>1274</v>
      </c>
      <c r="AA142" s="28" t="s">
        <v>1274</v>
      </c>
      <c r="AB142" s="28" t="s">
        <v>1274</v>
      </c>
      <c r="AC142" s="28" t="s">
        <v>1274</v>
      </c>
      <c r="AD142" s="28" t="s">
        <v>1274</v>
      </c>
      <c r="AE142" s="28" t="s">
        <v>1274</v>
      </c>
      <c r="AF142" s="28" t="s">
        <v>1274</v>
      </c>
      <c r="AG142" s="28" t="s">
        <v>1274</v>
      </c>
      <c r="AH142" s="28" t="s">
        <v>1274</v>
      </c>
      <c r="AI142" s="28" t="s">
        <v>1274</v>
      </c>
      <c r="AJ142" s="28" t="s">
        <v>1274</v>
      </c>
    </row>
    <row r="143" spans="1:36">
      <c r="A143" s="29" t="s">
        <v>1130</v>
      </c>
      <c r="B143" s="28" t="s">
        <v>1274</v>
      </c>
      <c r="C143" s="28" t="s">
        <v>1274</v>
      </c>
      <c r="D143" s="28" t="s">
        <v>1274</v>
      </c>
      <c r="E143" s="28" t="s">
        <v>1274</v>
      </c>
      <c r="F143" s="28" t="s">
        <v>1274</v>
      </c>
      <c r="G143" s="28" t="s">
        <v>1274</v>
      </c>
      <c r="H143" s="28" t="s">
        <v>1274</v>
      </c>
      <c r="I143" s="28" t="s">
        <v>1274</v>
      </c>
      <c r="J143" s="28" t="s">
        <v>1274</v>
      </c>
      <c r="K143" s="28" t="s">
        <v>1274</v>
      </c>
      <c r="L143" s="28" t="s">
        <v>1274</v>
      </c>
      <c r="M143" s="28" t="s">
        <v>1274</v>
      </c>
      <c r="N143" s="28" t="s">
        <v>1274</v>
      </c>
      <c r="O143" s="28" t="s">
        <v>1274</v>
      </c>
      <c r="P143" s="28" t="s">
        <v>1274</v>
      </c>
      <c r="Q143" s="28" t="s">
        <v>1274</v>
      </c>
      <c r="R143" s="28" t="s">
        <v>1274</v>
      </c>
      <c r="S143" s="28" t="s">
        <v>1274</v>
      </c>
      <c r="T143" s="28" t="s">
        <v>1274</v>
      </c>
      <c r="U143" s="28" t="s">
        <v>1274</v>
      </c>
      <c r="V143" s="28" t="s">
        <v>1274</v>
      </c>
      <c r="W143" s="28" t="s">
        <v>1274</v>
      </c>
      <c r="X143" s="28" t="s">
        <v>1274</v>
      </c>
      <c r="Y143" s="28" t="s">
        <v>1274</v>
      </c>
      <c r="Z143" s="28" t="s">
        <v>1274</v>
      </c>
      <c r="AA143" s="28" t="s">
        <v>1274</v>
      </c>
      <c r="AB143" s="28" t="s">
        <v>1274</v>
      </c>
      <c r="AC143" s="28" t="s">
        <v>1274</v>
      </c>
      <c r="AD143" s="28" t="s">
        <v>1274</v>
      </c>
      <c r="AE143" s="28" t="s">
        <v>1274</v>
      </c>
      <c r="AF143" s="28" t="s">
        <v>1274</v>
      </c>
      <c r="AG143" s="28" t="s">
        <v>1274</v>
      </c>
      <c r="AH143" s="28" t="s">
        <v>1274</v>
      </c>
      <c r="AI143" s="28" t="s">
        <v>1274</v>
      </c>
      <c r="AJ143" s="28" t="s">
        <v>1274</v>
      </c>
    </row>
    <row r="144" spans="1:36">
      <c r="A144" s="29" t="s">
        <v>1078</v>
      </c>
      <c r="B144" s="28" t="s">
        <v>1272</v>
      </c>
      <c r="C144" s="28" t="s">
        <v>1272</v>
      </c>
      <c r="D144" s="28" t="s">
        <v>1272</v>
      </c>
      <c r="E144" s="28" t="s">
        <v>1272</v>
      </c>
      <c r="F144" s="28" t="s">
        <v>1271</v>
      </c>
      <c r="G144" s="28" t="s">
        <v>1271</v>
      </c>
      <c r="H144" s="28" t="s">
        <v>1271</v>
      </c>
      <c r="I144" s="28" t="s">
        <v>1271</v>
      </c>
      <c r="J144" s="28" t="s">
        <v>1271</v>
      </c>
      <c r="K144" s="28" t="s">
        <v>1271</v>
      </c>
      <c r="L144" s="28" t="s">
        <v>1271</v>
      </c>
      <c r="M144" s="28" t="s">
        <v>1271</v>
      </c>
      <c r="N144" s="28" t="s">
        <v>1271</v>
      </c>
      <c r="O144" s="28" t="s">
        <v>1271</v>
      </c>
      <c r="P144" s="28" t="s">
        <v>1271</v>
      </c>
      <c r="Q144" s="28" t="s">
        <v>1271</v>
      </c>
      <c r="R144" s="28" t="s">
        <v>1271</v>
      </c>
      <c r="S144" s="28" t="s">
        <v>1271</v>
      </c>
      <c r="T144" s="28" t="s">
        <v>1272</v>
      </c>
      <c r="U144" s="28" t="s">
        <v>1272</v>
      </c>
      <c r="V144" s="28" t="s">
        <v>1272</v>
      </c>
      <c r="W144" s="28" t="s">
        <v>1272</v>
      </c>
      <c r="X144" s="28" t="s">
        <v>1272</v>
      </c>
      <c r="Y144" s="28" t="s">
        <v>1272</v>
      </c>
      <c r="Z144" s="28" t="s">
        <v>1272</v>
      </c>
      <c r="AA144" s="28" t="s">
        <v>1272</v>
      </c>
      <c r="AB144" s="28" t="s">
        <v>1272</v>
      </c>
      <c r="AC144" s="28" t="s">
        <v>1272</v>
      </c>
      <c r="AD144" s="28" t="s">
        <v>1272</v>
      </c>
      <c r="AE144" s="28" t="s">
        <v>1272</v>
      </c>
      <c r="AF144" s="28" t="s">
        <v>1272</v>
      </c>
      <c r="AG144" s="28" t="s">
        <v>1272</v>
      </c>
      <c r="AH144" s="28" t="s">
        <v>1272</v>
      </c>
      <c r="AI144" s="28" t="s">
        <v>1272</v>
      </c>
      <c r="AJ144" s="28" t="s">
        <v>1272</v>
      </c>
    </row>
    <row r="145" spans="1:36">
      <c r="A145" s="29" t="s">
        <v>1079</v>
      </c>
      <c r="B145" s="28" t="s">
        <v>1271</v>
      </c>
      <c r="C145" s="28" t="s">
        <v>1271</v>
      </c>
      <c r="D145" s="28" t="s">
        <v>1271</v>
      </c>
      <c r="E145" s="28" t="s">
        <v>1271</v>
      </c>
      <c r="F145" s="28" t="s">
        <v>1271</v>
      </c>
      <c r="G145" s="28" t="s">
        <v>1271</v>
      </c>
      <c r="H145" s="28" t="s">
        <v>1271</v>
      </c>
      <c r="I145" s="28" t="s">
        <v>1271</v>
      </c>
      <c r="J145" s="28" t="s">
        <v>1271</v>
      </c>
      <c r="K145" s="28" t="s">
        <v>1271</v>
      </c>
      <c r="L145" s="28" t="s">
        <v>1271</v>
      </c>
      <c r="M145" s="28" t="s">
        <v>1271</v>
      </c>
      <c r="N145" s="28" t="s">
        <v>1271</v>
      </c>
      <c r="O145" s="28" t="s">
        <v>1271</v>
      </c>
      <c r="P145" s="28" t="s">
        <v>1271</v>
      </c>
      <c r="Q145" s="28" t="s">
        <v>1271</v>
      </c>
      <c r="R145" s="28" t="s">
        <v>1271</v>
      </c>
      <c r="S145" s="28" t="s">
        <v>1271</v>
      </c>
      <c r="T145" s="28" t="s">
        <v>1271</v>
      </c>
      <c r="U145" s="28" t="s">
        <v>1271</v>
      </c>
      <c r="V145" s="28" t="s">
        <v>1271</v>
      </c>
      <c r="W145" s="28" t="s">
        <v>1271</v>
      </c>
      <c r="X145" s="28" t="s">
        <v>1271</v>
      </c>
      <c r="Y145" s="28" t="s">
        <v>1271</v>
      </c>
      <c r="Z145" s="28" t="s">
        <v>1271</v>
      </c>
      <c r="AA145" s="28" t="s">
        <v>1271</v>
      </c>
      <c r="AB145" s="28" t="s">
        <v>1271</v>
      </c>
      <c r="AC145" s="28" t="s">
        <v>1271</v>
      </c>
      <c r="AD145" s="28" t="s">
        <v>1271</v>
      </c>
      <c r="AE145" s="28" t="s">
        <v>1271</v>
      </c>
      <c r="AF145" s="28" t="s">
        <v>1271</v>
      </c>
      <c r="AG145" s="28" t="s">
        <v>1271</v>
      </c>
      <c r="AH145" s="28" t="s">
        <v>1271</v>
      </c>
      <c r="AI145" s="28" t="s">
        <v>1271</v>
      </c>
      <c r="AJ145" s="28" t="s">
        <v>1271</v>
      </c>
    </row>
    <row r="146" spans="1:36">
      <c r="A146" s="29" t="s">
        <v>1080</v>
      </c>
      <c r="B146" s="28" t="s">
        <v>1271</v>
      </c>
      <c r="C146" s="28" t="s">
        <v>1271</v>
      </c>
      <c r="D146" s="28" t="s">
        <v>1271</v>
      </c>
      <c r="E146" s="28" t="s">
        <v>1271</v>
      </c>
      <c r="F146" s="28" t="s">
        <v>1271</v>
      </c>
      <c r="G146" s="28" t="s">
        <v>1271</v>
      </c>
      <c r="H146" s="28" t="s">
        <v>1271</v>
      </c>
      <c r="I146" s="28" t="s">
        <v>1271</v>
      </c>
      <c r="J146" s="28" t="s">
        <v>1271</v>
      </c>
      <c r="K146" s="28" t="s">
        <v>1271</v>
      </c>
      <c r="L146" s="28" t="s">
        <v>1271</v>
      </c>
      <c r="M146" s="28" t="s">
        <v>1271</v>
      </c>
      <c r="N146" s="28" t="s">
        <v>1271</v>
      </c>
      <c r="O146" s="28" t="s">
        <v>1271</v>
      </c>
      <c r="P146" s="28" t="s">
        <v>1271</v>
      </c>
      <c r="Q146" s="28" t="s">
        <v>1271</v>
      </c>
      <c r="R146" s="28" t="s">
        <v>1271</v>
      </c>
      <c r="S146" s="28" t="s">
        <v>1271</v>
      </c>
      <c r="T146" s="28" t="s">
        <v>1271</v>
      </c>
      <c r="U146" s="28" t="s">
        <v>1271</v>
      </c>
      <c r="V146" s="28" t="s">
        <v>1271</v>
      </c>
      <c r="W146" s="28" t="s">
        <v>1272</v>
      </c>
      <c r="X146" s="28" t="s">
        <v>1272</v>
      </c>
      <c r="Y146" s="28" t="s">
        <v>1272</v>
      </c>
      <c r="Z146" s="28" t="s">
        <v>1272</v>
      </c>
      <c r="AA146" s="28" t="s">
        <v>1272</v>
      </c>
      <c r="AB146" s="28" t="s">
        <v>1272</v>
      </c>
      <c r="AC146" s="28" t="s">
        <v>1272</v>
      </c>
      <c r="AD146" s="28" t="s">
        <v>1272</v>
      </c>
      <c r="AE146" s="28" t="s">
        <v>1272</v>
      </c>
      <c r="AF146" s="28" t="s">
        <v>1272</v>
      </c>
      <c r="AG146" s="28" t="s">
        <v>1272</v>
      </c>
      <c r="AH146" s="28" t="s">
        <v>1272</v>
      </c>
      <c r="AI146" s="28" t="s">
        <v>1272</v>
      </c>
      <c r="AJ146" s="28" t="s">
        <v>1272</v>
      </c>
    </row>
    <row r="147" spans="1:36">
      <c r="A147" s="29" t="s">
        <v>1189</v>
      </c>
      <c r="B147" s="28" t="s">
        <v>1210</v>
      </c>
      <c r="C147" s="28" t="s">
        <v>1210</v>
      </c>
      <c r="D147" s="28" t="s">
        <v>1210</v>
      </c>
      <c r="E147" s="28" t="s">
        <v>1210</v>
      </c>
      <c r="F147" s="28" t="s">
        <v>1210</v>
      </c>
      <c r="G147" s="28" t="s">
        <v>1272</v>
      </c>
      <c r="H147" s="28" t="s">
        <v>1272</v>
      </c>
      <c r="I147" s="28" t="s">
        <v>1272</v>
      </c>
      <c r="J147" s="28" t="s">
        <v>1272</v>
      </c>
      <c r="K147" s="28" t="s">
        <v>1272</v>
      </c>
      <c r="L147" s="28" t="s">
        <v>1272</v>
      </c>
      <c r="M147" s="28" t="s">
        <v>1272</v>
      </c>
      <c r="N147" s="28" t="s">
        <v>1272</v>
      </c>
      <c r="O147" s="28" t="s">
        <v>1272</v>
      </c>
      <c r="P147" s="28" t="s">
        <v>1272</v>
      </c>
      <c r="Q147" s="28" t="s">
        <v>1272</v>
      </c>
      <c r="R147" s="28" t="s">
        <v>1272</v>
      </c>
      <c r="S147" s="28" t="s">
        <v>1272</v>
      </c>
      <c r="T147" s="28" t="s">
        <v>1272</v>
      </c>
      <c r="U147" s="28" t="s">
        <v>1272</v>
      </c>
      <c r="V147" s="28" t="s">
        <v>1272</v>
      </c>
      <c r="W147" s="28" t="s">
        <v>1273</v>
      </c>
      <c r="X147" s="28" t="s">
        <v>1273</v>
      </c>
      <c r="Y147" s="28" t="s">
        <v>1273</v>
      </c>
      <c r="Z147" s="28" t="s">
        <v>1273</v>
      </c>
      <c r="AA147" s="28" t="s">
        <v>1273</v>
      </c>
      <c r="AB147" s="28" t="s">
        <v>1273</v>
      </c>
      <c r="AC147" s="28" t="s">
        <v>1273</v>
      </c>
      <c r="AD147" s="28" t="s">
        <v>1273</v>
      </c>
      <c r="AE147" s="28" t="s">
        <v>1273</v>
      </c>
      <c r="AF147" s="28" t="s">
        <v>1273</v>
      </c>
      <c r="AG147" s="28" t="s">
        <v>1273</v>
      </c>
      <c r="AH147" s="28" t="s">
        <v>1273</v>
      </c>
      <c r="AI147" s="28" t="s">
        <v>1273</v>
      </c>
      <c r="AJ147" s="28" t="s">
        <v>1273</v>
      </c>
    </row>
    <row r="148" spans="1:36">
      <c r="A148" s="29" t="s">
        <v>1191</v>
      </c>
      <c r="B148" s="28" t="s">
        <v>1210</v>
      </c>
      <c r="C148" s="28" t="s">
        <v>1210</v>
      </c>
      <c r="D148" s="28" t="s">
        <v>1210</v>
      </c>
      <c r="E148" s="28" t="s">
        <v>1210</v>
      </c>
      <c r="F148" s="28" t="s">
        <v>1210</v>
      </c>
      <c r="G148" s="28" t="s">
        <v>1272</v>
      </c>
      <c r="H148" s="28" t="s">
        <v>1272</v>
      </c>
      <c r="I148" s="28" t="s">
        <v>1272</v>
      </c>
      <c r="J148" s="28" t="s">
        <v>1274</v>
      </c>
      <c r="K148" s="28" t="s">
        <v>1274</v>
      </c>
      <c r="L148" s="28" t="s">
        <v>1274</v>
      </c>
      <c r="M148" s="28" t="s">
        <v>1274</v>
      </c>
      <c r="N148" s="28" t="s">
        <v>1274</v>
      </c>
      <c r="O148" s="28" t="s">
        <v>1274</v>
      </c>
      <c r="P148" s="28" t="s">
        <v>1274</v>
      </c>
      <c r="Q148" s="28" t="s">
        <v>1273</v>
      </c>
      <c r="R148" s="28" t="s">
        <v>1273</v>
      </c>
      <c r="S148" s="28" t="s">
        <v>1273</v>
      </c>
      <c r="T148" s="28" t="s">
        <v>1273</v>
      </c>
      <c r="U148" s="28" t="s">
        <v>1273</v>
      </c>
      <c r="V148" s="28" t="s">
        <v>1274</v>
      </c>
      <c r="W148" s="28" t="s">
        <v>1274</v>
      </c>
      <c r="X148" s="28" t="s">
        <v>1274</v>
      </c>
      <c r="Y148" s="28" t="s">
        <v>1274</v>
      </c>
      <c r="Z148" s="28" t="s">
        <v>1274</v>
      </c>
      <c r="AA148" s="28" t="s">
        <v>1274</v>
      </c>
      <c r="AB148" s="28" t="s">
        <v>1274</v>
      </c>
      <c r="AC148" s="28" t="s">
        <v>1274</v>
      </c>
      <c r="AD148" s="28" t="s">
        <v>1274</v>
      </c>
      <c r="AE148" s="28" t="s">
        <v>1274</v>
      </c>
      <c r="AF148" s="28" t="s">
        <v>1274</v>
      </c>
      <c r="AG148" s="28" t="s">
        <v>1274</v>
      </c>
      <c r="AH148" s="28" t="s">
        <v>1274</v>
      </c>
      <c r="AI148" s="28" t="s">
        <v>1274</v>
      </c>
      <c r="AJ148" s="28" t="s">
        <v>1274</v>
      </c>
    </row>
    <row r="149" spans="1:36">
      <c r="A149" s="29" t="s">
        <v>1131</v>
      </c>
      <c r="B149" s="28" t="s">
        <v>1274</v>
      </c>
      <c r="C149" s="28" t="s">
        <v>1274</v>
      </c>
      <c r="D149" s="28" t="s">
        <v>1274</v>
      </c>
      <c r="E149" s="28" t="s">
        <v>1274</v>
      </c>
      <c r="F149" s="28" t="s">
        <v>1274</v>
      </c>
      <c r="G149" s="28" t="s">
        <v>1274</v>
      </c>
      <c r="H149" s="28" t="s">
        <v>1274</v>
      </c>
      <c r="I149" s="28" t="s">
        <v>1274</v>
      </c>
      <c r="J149" s="28" t="s">
        <v>1274</v>
      </c>
      <c r="K149" s="28" t="s">
        <v>1274</v>
      </c>
      <c r="L149" s="28" t="s">
        <v>1274</v>
      </c>
      <c r="M149" s="28" t="s">
        <v>1274</v>
      </c>
      <c r="N149" s="28" t="s">
        <v>1274</v>
      </c>
      <c r="O149" s="28" t="s">
        <v>1274</v>
      </c>
      <c r="P149" s="28" t="s">
        <v>1274</v>
      </c>
      <c r="Q149" s="28" t="s">
        <v>1274</v>
      </c>
      <c r="R149" s="28" t="s">
        <v>1274</v>
      </c>
      <c r="S149" s="28" t="s">
        <v>1274</v>
      </c>
      <c r="T149" s="28" t="s">
        <v>1274</v>
      </c>
      <c r="U149" s="28" t="s">
        <v>1274</v>
      </c>
      <c r="V149" s="28" t="s">
        <v>1274</v>
      </c>
      <c r="W149" s="28" t="s">
        <v>1274</v>
      </c>
      <c r="X149" s="28" t="s">
        <v>1274</v>
      </c>
      <c r="Y149" s="28" t="s">
        <v>1274</v>
      </c>
      <c r="Z149" s="28" t="s">
        <v>1274</v>
      </c>
      <c r="AA149" s="28" t="s">
        <v>1274</v>
      </c>
      <c r="AB149" s="28" t="s">
        <v>1274</v>
      </c>
      <c r="AC149" s="28" t="s">
        <v>1274</v>
      </c>
      <c r="AD149" s="28" t="s">
        <v>1274</v>
      </c>
      <c r="AE149" s="28" t="s">
        <v>1274</v>
      </c>
      <c r="AF149" s="28" t="s">
        <v>1274</v>
      </c>
      <c r="AG149" s="28" t="s">
        <v>1274</v>
      </c>
      <c r="AH149" s="28" t="s">
        <v>1274</v>
      </c>
      <c r="AI149" s="28" t="s">
        <v>1274</v>
      </c>
      <c r="AJ149" s="28" t="s">
        <v>1274</v>
      </c>
    </row>
    <row r="150" spans="1:36">
      <c r="A150" s="29" t="s">
        <v>1132</v>
      </c>
      <c r="B150" s="28" t="s">
        <v>1273</v>
      </c>
      <c r="C150" s="28" t="s">
        <v>1273</v>
      </c>
      <c r="D150" s="28" t="s">
        <v>1273</v>
      </c>
      <c r="E150" s="28" t="s">
        <v>1273</v>
      </c>
      <c r="F150" s="28" t="s">
        <v>1273</v>
      </c>
      <c r="G150" s="28" t="s">
        <v>1273</v>
      </c>
      <c r="H150" s="28" t="s">
        <v>1273</v>
      </c>
      <c r="I150" s="28" t="s">
        <v>1273</v>
      </c>
      <c r="J150" s="28" t="s">
        <v>1273</v>
      </c>
      <c r="K150" s="28" t="s">
        <v>1273</v>
      </c>
      <c r="L150" s="28" t="s">
        <v>1273</v>
      </c>
      <c r="M150" s="28" t="s">
        <v>1273</v>
      </c>
      <c r="N150" s="28" t="s">
        <v>1273</v>
      </c>
      <c r="O150" s="28" t="s">
        <v>1273</v>
      </c>
      <c r="P150" s="28" t="s">
        <v>1273</v>
      </c>
      <c r="Q150" s="28" t="s">
        <v>1273</v>
      </c>
      <c r="R150" s="28" t="s">
        <v>1273</v>
      </c>
      <c r="S150" s="28" t="s">
        <v>1273</v>
      </c>
      <c r="T150" s="28" t="s">
        <v>1273</v>
      </c>
      <c r="U150" s="28" t="s">
        <v>1273</v>
      </c>
      <c r="V150" s="28" t="s">
        <v>1274</v>
      </c>
      <c r="W150" s="28" t="s">
        <v>1274</v>
      </c>
      <c r="X150" s="28" t="s">
        <v>1274</v>
      </c>
      <c r="Y150" s="28" t="s">
        <v>1274</v>
      </c>
      <c r="Z150" s="28" t="s">
        <v>1274</v>
      </c>
      <c r="AA150" s="28" t="s">
        <v>1274</v>
      </c>
      <c r="AB150" s="28" t="s">
        <v>1274</v>
      </c>
      <c r="AC150" s="28" t="s">
        <v>1274</v>
      </c>
      <c r="AD150" s="28" t="s">
        <v>1274</v>
      </c>
      <c r="AE150" s="28" t="s">
        <v>1274</v>
      </c>
      <c r="AF150" s="28" t="s">
        <v>1274</v>
      </c>
      <c r="AG150" s="28" t="s">
        <v>1274</v>
      </c>
      <c r="AH150" s="28" t="s">
        <v>1274</v>
      </c>
      <c r="AI150" s="28" t="s">
        <v>1274</v>
      </c>
      <c r="AJ150" s="28" t="s">
        <v>1274</v>
      </c>
    </row>
    <row r="151" spans="1:36">
      <c r="A151" s="29" t="s">
        <v>1081</v>
      </c>
      <c r="B151" s="28" t="s">
        <v>1271</v>
      </c>
      <c r="C151" s="28" t="s">
        <v>1271</v>
      </c>
      <c r="D151" s="28" t="s">
        <v>1271</v>
      </c>
      <c r="E151" s="28" t="s">
        <v>1271</v>
      </c>
      <c r="F151" s="28" t="s">
        <v>1271</v>
      </c>
      <c r="G151" s="28" t="s">
        <v>1271</v>
      </c>
      <c r="H151" s="28" t="s">
        <v>1271</v>
      </c>
      <c r="I151" s="28" t="s">
        <v>1271</v>
      </c>
      <c r="J151" s="28" t="s">
        <v>1271</v>
      </c>
      <c r="K151" s="28" t="s">
        <v>1271</v>
      </c>
      <c r="L151" s="28" t="s">
        <v>1271</v>
      </c>
      <c r="M151" s="28" t="s">
        <v>1271</v>
      </c>
      <c r="N151" s="28" t="s">
        <v>1271</v>
      </c>
      <c r="O151" s="28" t="s">
        <v>1271</v>
      </c>
      <c r="P151" s="28" t="s">
        <v>1271</v>
      </c>
      <c r="Q151" s="28" t="s">
        <v>1271</v>
      </c>
      <c r="R151" s="28" t="s">
        <v>1271</v>
      </c>
      <c r="S151" s="28" t="s">
        <v>1271</v>
      </c>
      <c r="T151" s="28" t="s">
        <v>1271</v>
      </c>
      <c r="U151" s="28" t="s">
        <v>1271</v>
      </c>
      <c r="V151" s="28" t="s">
        <v>1271</v>
      </c>
      <c r="W151" s="28" t="s">
        <v>1272</v>
      </c>
      <c r="X151" s="28" t="s">
        <v>1272</v>
      </c>
      <c r="Y151" s="28" t="s">
        <v>1272</v>
      </c>
      <c r="Z151" s="28" t="s">
        <v>1272</v>
      </c>
      <c r="AA151" s="28" t="s">
        <v>1272</v>
      </c>
      <c r="AB151" s="28" t="s">
        <v>1272</v>
      </c>
      <c r="AC151" s="28" t="s">
        <v>1272</v>
      </c>
      <c r="AD151" s="28" t="s">
        <v>1272</v>
      </c>
      <c r="AE151" s="28" t="s">
        <v>1272</v>
      </c>
      <c r="AF151" s="28" t="s">
        <v>1272</v>
      </c>
      <c r="AG151" s="28" t="s">
        <v>1272</v>
      </c>
      <c r="AH151" s="28" t="s">
        <v>1272</v>
      </c>
      <c r="AI151" s="28" t="s">
        <v>1272</v>
      </c>
      <c r="AJ151" s="28" t="s">
        <v>1272</v>
      </c>
    </row>
    <row r="152" spans="1:36">
      <c r="A152" s="29" t="s">
        <v>1133</v>
      </c>
      <c r="B152" s="28" t="s">
        <v>1210</v>
      </c>
      <c r="C152" s="28" t="s">
        <v>1210</v>
      </c>
      <c r="D152" s="28" t="s">
        <v>1210</v>
      </c>
      <c r="E152" s="28" t="s">
        <v>1210</v>
      </c>
      <c r="F152" s="28" t="s">
        <v>1210</v>
      </c>
      <c r="G152" s="28" t="s">
        <v>1210</v>
      </c>
      <c r="H152" s="28" t="s">
        <v>1210</v>
      </c>
      <c r="I152" s="28" t="s">
        <v>1210</v>
      </c>
      <c r="J152" s="28" t="s">
        <v>1210</v>
      </c>
      <c r="K152" s="28" t="s">
        <v>1273</v>
      </c>
      <c r="L152" s="28" t="s">
        <v>1273</v>
      </c>
      <c r="M152" s="28" t="s">
        <v>1273</v>
      </c>
      <c r="N152" s="28" t="s">
        <v>1273</v>
      </c>
      <c r="O152" s="28" t="s">
        <v>1273</v>
      </c>
      <c r="P152" s="28" t="s">
        <v>1273</v>
      </c>
      <c r="Q152" s="28" t="s">
        <v>1273</v>
      </c>
      <c r="R152" s="28" t="s">
        <v>1273</v>
      </c>
      <c r="S152" s="28" t="s">
        <v>1273</v>
      </c>
      <c r="T152" s="28" t="s">
        <v>1273</v>
      </c>
      <c r="U152" s="28" t="s">
        <v>1273</v>
      </c>
      <c r="V152" s="28" t="s">
        <v>1273</v>
      </c>
      <c r="W152" s="28" t="s">
        <v>1273</v>
      </c>
      <c r="X152" s="28" t="s">
        <v>1273</v>
      </c>
      <c r="Y152" s="28" t="s">
        <v>1273</v>
      </c>
      <c r="Z152" s="28" t="s">
        <v>1273</v>
      </c>
      <c r="AA152" s="28" t="s">
        <v>1273</v>
      </c>
      <c r="AB152" s="28" t="s">
        <v>1273</v>
      </c>
      <c r="AC152" s="28" t="s">
        <v>1273</v>
      </c>
      <c r="AD152" s="28" t="s">
        <v>1273</v>
      </c>
      <c r="AE152" s="28" t="s">
        <v>1274</v>
      </c>
      <c r="AF152" s="28" t="s">
        <v>1274</v>
      </c>
      <c r="AG152" s="28" t="s">
        <v>1274</v>
      </c>
      <c r="AH152" s="28" t="s">
        <v>1274</v>
      </c>
      <c r="AI152" s="28" t="s">
        <v>1274</v>
      </c>
      <c r="AJ152" s="28" t="s">
        <v>1273</v>
      </c>
    </row>
    <row r="153" spans="1:36">
      <c r="A153" s="29" t="s">
        <v>1082</v>
      </c>
      <c r="B153" s="28" t="s">
        <v>1273</v>
      </c>
      <c r="C153" s="28" t="s">
        <v>1272</v>
      </c>
      <c r="D153" s="28" t="s">
        <v>1272</v>
      </c>
      <c r="E153" s="28" t="s">
        <v>1272</v>
      </c>
      <c r="F153" s="28" t="s">
        <v>1272</v>
      </c>
      <c r="G153" s="28" t="s">
        <v>1272</v>
      </c>
      <c r="H153" s="28" t="s">
        <v>1272</v>
      </c>
      <c r="I153" s="28" t="s">
        <v>1272</v>
      </c>
      <c r="J153" s="28" t="s">
        <v>1272</v>
      </c>
      <c r="K153" s="28" t="s">
        <v>1272</v>
      </c>
      <c r="L153" s="28" t="s">
        <v>1272</v>
      </c>
      <c r="M153" s="28" t="s">
        <v>1273</v>
      </c>
      <c r="N153" s="28" t="s">
        <v>1273</v>
      </c>
      <c r="O153" s="28" t="s">
        <v>1273</v>
      </c>
      <c r="P153" s="28" t="s">
        <v>1273</v>
      </c>
      <c r="Q153" s="28" t="s">
        <v>1273</v>
      </c>
      <c r="R153" s="28" t="s">
        <v>1273</v>
      </c>
      <c r="S153" s="28" t="s">
        <v>1273</v>
      </c>
      <c r="T153" s="28" t="s">
        <v>1273</v>
      </c>
      <c r="U153" s="28" t="s">
        <v>1273</v>
      </c>
      <c r="V153" s="28" t="s">
        <v>1273</v>
      </c>
      <c r="W153" s="28" t="s">
        <v>1273</v>
      </c>
      <c r="X153" s="28" t="s">
        <v>1273</v>
      </c>
      <c r="Y153" s="28" t="s">
        <v>1273</v>
      </c>
      <c r="Z153" s="28" t="s">
        <v>1273</v>
      </c>
      <c r="AA153" s="28" t="s">
        <v>1273</v>
      </c>
      <c r="AB153" s="28" t="s">
        <v>1273</v>
      </c>
      <c r="AC153" s="28" t="s">
        <v>1273</v>
      </c>
      <c r="AD153" s="28" t="s">
        <v>1273</v>
      </c>
      <c r="AE153" s="28" t="s">
        <v>1273</v>
      </c>
      <c r="AF153" s="28" t="s">
        <v>1274</v>
      </c>
      <c r="AG153" s="28" t="s">
        <v>1274</v>
      </c>
      <c r="AH153" s="28" t="s">
        <v>1274</v>
      </c>
      <c r="AI153" s="28" t="s">
        <v>1273</v>
      </c>
      <c r="AJ153" s="28" t="s">
        <v>1274</v>
      </c>
    </row>
    <row r="154" spans="1:36">
      <c r="A154" s="29" t="s">
        <v>1134</v>
      </c>
      <c r="B154" s="28" t="s">
        <v>1272</v>
      </c>
      <c r="C154" s="28" t="s">
        <v>1272</v>
      </c>
      <c r="D154" s="28" t="s">
        <v>1272</v>
      </c>
      <c r="E154" s="28" t="s">
        <v>1272</v>
      </c>
      <c r="F154" s="28" t="s">
        <v>1272</v>
      </c>
      <c r="G154" s="28" t="s">
        <v>1272</v>
      </c>
      <c r="H154" s="28" t="s">
        <v>1272</v>
      </c>
      <c r="I154" s="28" t="s">
        <v>1272</v>
      </c>
      <c r="J154" s="28" t="s">
        <v>1272</v>
      </c>
      <c r="K154" s="28" t="s">
        <v>1272</v>
      </c>
      <c r="L154" s="28" t="s">
        <v>1272</v>
      </c>
      <c r="M154" s="28" t="s">
        <v>1272</v>
      </c>
      <c r="N154" s="28" t="s">
        <v>1272</v>
      </c>
      <c r="O154" s="28" t="s">
        <v>1272</v>
      </c>
      <c r="P154" s="28" t="s">
        <v>1271</v>
      </c>
      <c r="Q154" s="28" t="s">
        <v>1271</v>
      </c>
      <c r="R154" s="28" t="s">
        <v>1271</v>
      </c>
      <c r="S154" s="28" t="s">
        <v>1271</v>
      </c>
      <c r="T154" s="28" t="s">
        <v>1271</v>
      </c>
      <c r="U154" s="28" t="s">
        <v>1271</v>
      </c>
      <c r="V154" s="28" t="s">
        <v>1271</v>
      </c>
      <c r="W154" s="28" t="s">
        <v>1272</v>
      </c>
      <c r="X154" s="28" t="s">
        <v>1272</v>
      </c>
      <c r="Y154" s="28" t="s">
        <v>1272</v>
      </c>
      <c r="Z154" s="28" t="s">
        <v>1272</v>
      </c>
      <c r="AA154" s="28" t="s">
        <v>1272</v>
      </c>
      <c r="AB154" s="28" t="s">
        <v>1272</v>
      </c>
      <c r="AC154" s="28" t="s">
        <v>1272</v>
      </c>
      <c r="AD154" s="28" t="s">
        <v>1272</v>
      </c>
      <c r="AE154" s="28" t="s">
        <v>1272</v>
      </c>
      <c r="AF154" s="28" t="s">
        <v>1272</v>
      </c>
      <c r="AG154" s="28" t="s">
        <v>1272</v>
      </c>
      <c r="AH154" s="28" t="s">
        <v>1272</v>
      </c>
      <c r="AI154" s="28" t="s">
        <v>1272</v>
      </c>
      <c r="AJ154" s="28" t="s">
        <v>1272</v>
      </c>
    </row>
    <row r="155" spans="1:36">
      <c r="A155" s="29" t="s">
        <v>482</v>
      </c>
      <c r="B155" s="28" t="s">
        <v>1272</v>
      </c>
      <c r="C155" s="28" t="s">
        <v>1272</v>
      </c>
      <c r="D155" s="28" t="s">
        <v>1272</v>
      </c>
      <c r="E155" s="28" t="s">
        <v>1272</v>
      </c>
      <c r="F155" s="28" t="s">
        <v>1272</v>
      </c>
      <c r="G155" s="28" t="s">
        <v>1272</v>
      </c>
      <c r="H155" s="28" t="s">
        <v>1272</v>
      </c>
      <c r="I155" s="28" t="s">
        <v>1272</v>
      </c>
      <c r="J155" s="28" t="s">
        <v>1272</v>
      </c>
      <c r="K155" s="28" t="s">
        <v>1272</v>
      </c>
      <c r="L155" s="28" t="s">
        <v>1272</v>
      </c>
      <c r="M155" s="28" t="s">
        <v>1272</v>
      </c>
      <c r="N155" s="28" t="s">
        <v>1272</v>
      </c>
      <c r="O155" s="28" t="s">
        <v>1272</v>
      </c>
      <c r="P155" s="28" t="s">
        <v>1272</v>
      </c>
      <c r="Q155" s="28" t="s">
        <v>1272</v>
      </c>
      <c r="R155" s="28" t="s">
        <v>1272</v>
      </c>
      <c r="S155" s="28" t="s">
        <v>1272</v>
      </c>
      <c r="T155" s="28" t="s">
        <v>1272</v>
      </c>
      <c r="U155" s="28" t="s">
        <v>1272</v>
      </c>
      <c r="V155" s="28" t="s">
        <v>1272</v>
      </c>
      <c r="W155" s="28" t="s">
        <v>1272</v>
      </c>
      <c r="X155" s="28" t="s">
        <v>1272</v>
      </c>
      <c r="Y155" s="28" t="s">
        <v>1272</v>
      </c>
      <c r="Z155" s="28" t="s">
        <v>1272</v>
      </c>
      <c r="AA155" s="28" t="s">
        <v>1272</v>
      </c>
      <c r="AB155" s="28" t="s">
        <v>1272</v>
      </c>
      <c r="AC155" s="28" t="s">
        <v>1273</v>
      </c>
      <c r="AD155" s="28" t="s">
        <v>1273</v>
      </c>
      <c r="AE155" s="28" t="s">
        <v>1273</v>
      </c>
      <c r="AF155" s="28" t="s">
        <v>1273</v>
      </c>
      <c r="AG155" s="28" t="s">
        <v>1273</v>
      </c>
      <c r="AH155" s="28" t="s">
        <v>1273</v>
      </c>
      <c r="AI155" s="28" t="s">
        <v>1273</v>
      </c>
      <c r="AJ155" s="28" t="s">
        <v>1273</v>
      </c>
    </row>
    <row r="156" spans="1:36">
      <c r="A156" s="29" t="s">
        <v>404</v>
      </c>
      <c r="B156" s="28" t="s">
        <v>1272</v>
      </c>
      <c r="C156" s="28" t="s">
        <v>1272</v>
      </c>
      <c r="D156" s="28" t="s">
        <v>1272</v>
      </c>
      <c r="E156" s="28" t="s">
        <v>1272</v>
      </c>
      <c r="F156" s="28" t="s">
        <v>1272</v>
      </c>
      <c r="G156" s="28" t="s">
        <v>1272</v>
      </c>
      <c r="H156" s="28" t="s">
        <v>1272</v>
      </c>
      <c r="I156" s="28" t="s">
        <v>1272</v>
      </c>
      <c r="J156" s="28" t="s">
        <v>1272</v>
      </c>
      <c r="K156" s="28" t="s">
        <v>1272</v>
      </c>
      <c r="L156" s="28" t="s">
        <v>1272</v>
      </c>
      <c r="M156" s="28" t="s">
        <v>1272</v>
      </c>
      <c r="N156" s="28" t="s">
        <v>1272</v>
      </c>
      <c r="O156" s="28" t="s">
        <v>1272</v>
      </c>
      <c r="P156" s="28" t="s">
        <v>1272</v>
      </c>
      <c r="Q156" s="28" t="s">
        <v>1272</v>
      </c>
      <c r="R156" s="28" t="s">
        <v>1272</v>
      </c>
      <c r="S156" s="28" t="s">
        <v>1272</v>
      </c>
      <c r="T156" s="28" t="s">
        <v>1272</v>
      </c>
      <c r="U156" s="28" t="s">
        <v>1272</v>
      </c>
      <c r="V156" s="28" t="s">
        <v>1272</v>
      </c>
      <c r="W156" s="28" t="s">
        <v>1273</v>
      </c>
      <c r="X156" s="28" t="s">
        <v>1273</v>
      </c>
      <c r="Y156" s="28" t="s">
        <v>1273</v>
      </c>
      <c r="Z156" s="28" t="s">
        <v>1273</v>
      </c>
      <c r="AA156" s="28" t="s">
        <v>1273</v>
      </c>
      <c r="AB156" s="28" t="s">
        <v>1273</v>
      </c>
      <c r="AC156" s="28" t="s">
        <v>1273</v>
      </c>
      <c r="AD156" s="28" t="s">
        <v>1273</v>
      </c>
      <c r="AE156" s="28" t="s">
        <v>1273</v>
      </c>
      <c r="AF156" s="28" t="s">
        <v>1273</v>
      </c>
      <c r="AG156" s="28" t="s">
        <v>1273</v>
      </c>
      <c r="AH156" s="28" t="s">
        <v>1273</v>
      </c>
      <c r="AI156" s="28" t="s">
        <v>1273</v>
      </c>
      <c r="AJ156" s="28" t="s">
        <v>1273</v>
      </c>
    </row>
    <row r="157" spans="1:36">
      <c r="A157" s="29" t="s">
        <v>285</v>
      </c>
      <c r="B157" s="28" t="s">
        <v>1272</v>
      </c>
      <c r="C157" s="28" t="s">
        <v>1272</v>
      </c>
      <c r="D157" s="28" t="s">
        <v>1272</v>
      </c>
      <c r="E157" s="28" t="s">
        <v>1272</v>
      </c>
      <c r="F157" s="28" t="s">
        <v>1272</v>
      </c>
      <c r="G157" s="28" t="s">
        <v>1272</v>
      </c>
      <c r="H157" s="28" t="s">
        <v>1272</v>
      </c>
      <c r="I157" s="28" t="s">
        <v>1272</v>
      </c>
      <c r="J157" s="28" t="s">
        <v>1272</v>
      </c>
      <c r="K157" s="28" t="s">
        <v>1272</v>
      </c>
      <c r="L157" s="28" t="s">
        <v>1272</v>
      </c>
      <c r="M157" s="28" t="s">
        <v>1272</v>
      </c>
      <c r="N157" s="28" t="s">
        <v>1272</v>
      </c>
      <c r="O157" s="28" t="s">
        <v>1272</v>
      </c>
      <c r="P157" s="28" t="s">
        <v>1272</v>
      </c>
      <c r="Q157" s="28" t="s">
        <v>1272</v>
      </c>
      <c r="R157" s="28" t="s">
        <v>1272</v>
      </c>
      <c r="S157" s="28" t="s">
        <v>1272</v>
      </c>
      <c r="T157" s="28" t="s">
        <v>1272</v>
      </c>
      <c r="U157" s="28" t="s">
        <v>1272</v>
      </c>
      <c r="V157" s="28" t="s">
        <v>1272</v>
      </c>
      <c r="W157" s="28" t="s">
        <v>1272</v>
      </c>
      <c r="X157" s="28" t="s">
        <v>1272</v>
      </c>
      <c r="Y157" s="28" t="s">
        <v>1272</v>
      </c>
      <c r="Z157" s="28" t="s">
        <v>1272</v>
      </c>
      <c r="AA157" s="28" t="s">
        <v>1272</v>
      </c>
      <c r="AB157" s="28" t="s">
        <v>1272</v>
      </c>
      <c r="AC157" s="28" t="s">
        <v>1272</v>
      </c>
      <c r="AD157" s="28" t="s">
        <v>1272</v>
      </c>
      <c r="AE157" s="28" t="s">
        <v>1272</v>
      </c>
      <c r="AF157" s="28" t="s">
        <v>1272</v>
      </c>
      <c r="AG157" s="28" t="s">
        <v>1272</v>
      </c>
      <c r="AH157" s="28" t="s">
        <v>1272</v>
      </c>
      <c r="AI157" s="28" t="s">
        <v>1272</v>
      </c>
      <c r="AJ157" s="28" t="s">
        <v>1272</v>
      </c>
    </row>
    <row r="158" spans="1:36">
      <c r="A158" s="29" t="s">
        <v>1135</v>
      </c>
      <c r="B158" s="28" t="s">
        <v>1272</v>
      </c>
      <c r="C158" s="28" t="s">
        <v>1272</v>
      </c>
      <c r="D158" s="28" t="s">
        <v>1272</v>
      </c>
      <c r="E158" s="28" t="s">
        <v>1272</v>
      </c>
      <c r="F158" s="28" t="s">
        <v>1272</v>
      </c>
      <c r="G158" s="28" t="s">
        <v>1272</v>
      </c>
      <c r="H158" s="28" t="s">
        <v>1272</v>
      </c>
      <c r="I158" s="28" t="s">
        <v>1272</v>
      </c>
      <c r="J158" s="28" t="s">
        <v>1272</v>
      </c>
      <c r="K158" s="28" t="s">
        <v>1273</v>
      </c>
      <c r="L158" s="28" t="s">
        <v>1273</v>
      </c>
      <c r="M158" s="28" t="s">
        <v>1273</v>
      </c>
      <c r="N158" s="28" t="s">
        <v>1273</v>
      </c>
      <c r="O158" s="28" t="s">
        <v>1273</v>
      </c>
      <c r="P158" s="28" t="s">
        <v>1273</v>
      </c>
      <c r="Q158" s="28" t="s">
        <v>1273</v>
      </c>
      <c r="R158" s="28" t="s">
        <v>1273</v>
      </c>
      <c r="S158" s="28" t="s">
        <v>1273</v>
      </c>
      <c r="T158" s="28" t="s">
        <v>1273</v>
      </c>
      <c r="U158" s="28" t="s">
        <v>1273</v>
      </c>
      <c r="V158" s="28" t="s">
        <v>1273</v>
      </c>
      <c r="W158" s="28" t="s">
        <v>1273</v>
      </c>
      <c r="X158" s="28" t="s">
        <v>1274</v>
      </c>
      <c r="Y158" s="28" t="s">
        <v>1274</v>
      </c>
      <c r="Z158" s="28" t="s">
        <v>1274</v>
      </c>
      <c r="AA158" s="28" t="s">
        <v>1274</v>
      </c>
      <c r="AB158" s="28" t="s">
        <v>1274</v>
      </c>
      <c r="AC158" s="28" t="s">
        <v>1274</v>
      </c>
      <c r="AD158" s="28" t="s">
        <v>1274</v>
      </c>
      <c r="AE158" s="28" t="s">
        <v>1274</v>
      </c>
      <c r="AF158" s="28" t="s">
        <v>1274</v>
      </c>
      <c r="AG158" s="28" t="s">
        <v>1274</v>
      </c>
      <c r="AH158" s="28" t="s">
        <v>1274</v>
      </c>
      <c r="AI158" s="28" t="s">
        <v>1274</v>
      </c>
      <c r="AJ158" s="28" t="s">
        <v>1274</v>
      </c>
    </row>
    <row r="159" spans="1:36">
      <c r="A159" s="29" t="s">
        <v>1136</v>
      </c>
      <c r="B159" s="28" t="s">
        <v>1273</v>
      </c>
      <c r="C159" s="28" t="s">
        <v>1273</v>
      </c>
      <c r="D159" s="28" t="s">
        <v>1273</v>
      </c>
      <c r="E159" s="28" t="s">
        <v>1273</v>
      </c>
      <c r="F159" s="28" t="s">
        <v>1273</v>
      </c>
      <c r="G159" s="28" t="s">
        <v>1273</v>
      </c>
      <c r="H159" s="28" t="s">
        <v>1273</v>
      </c>
      <c r="I159" s="28" t="s">
        <v>1274</v>
      </c>
      <c r="J159" s="28" t="s">
        <v>1274</v>
      </c>
      <c r="K159" s="28" t="s">
        <v>1274</v>
      </c>
      <c r="L159" s="28" t="s">
        <v>1274</v>
      </c>
      <c r="M159" s="28" t="s">
        <v>1274</v>
      </c>
      <c r="N159" s="28" t="s">
        <v>1274</v>
      </c>
      <c r="O159" s="28" t="s">
        <v>1274</v>
      </c>
      <c r="P159" s="28" t="s">
        <v>1274</v>
      </c>
      <c r="Q159" s="28" t="s">
        <v>1274</v>
      </c>
      <c r="R159" s="28" t="s">
        <v>1274</v>
      </c>
      <c r="S159" s="28" t="s">
        <v>1274</v>
      </c>
      <c r="T159" s="28" t="s">
        <v>1274</v>
      </c>
      <c r="U159" s="28" t="s">
        <v>1274</v>
      </c>
      <c r="V159" s="28" t="s">
        <v>1274</v>
      </c>
      <c r="W159" s="28" t="s">
        <v>1274</v>
      </c>
      <c r="X159" s="28" t="s">
        <v>1274</v>
      </c>
      <c r="Y159" s="28" t="s">
        <v>1274</v>
      </c>
      <c r="Z159" s="28" t="s">
        <v>1274</v>
      </c>
      <c r="AA159" s="28" t="s">
        <v>1274</v>
      </c>
      <c r="AB159" s="28" t="s">
        <v>1274</v>
      </c>
      <c r="AC159" s="28" t="s">
        <v>1274</v>
      </c>
      <c r="AD159" s="28" t="s">
        <v>1274</v>
      </c>
      <c r="AE159" s="28" t="s">
        <v>1274</v>
      </c>
      <c r="AF159" s="28" t="s">
        <v>1274</v>
      </c>
      <c r="AG159" s="28" t="s">
        <v>1274</v>
      </c>
      <c r="AH159" s="28" t="s">
        <v>1274</v>
      </c>
      <c r="AI159" s="28" t="s">
        <v>1274</v>
      </c>
      <c r="AJ159" s="28" t="s">
        <v>1274</v>
      </c>
    </row>
    <row r="160" spans="1:36">
      <c r="A160" s="29" t="s">
        <v>1137</v>
      </c>
      <c r="B160" s="28" t="s">
        <v>1273</v>
      </c>
      <c r="C160" s="28" t="s">
        <v>1273</v>
      </c>
      <c r="D160" s="28" t="s">
        <v>1274</v>
      </c>
      <c r="E160" s="28" t="s">
        <v>1273</v>
      </c>
      <c r="F160" s="28" t="s">
        <v>1273</v>
      </c>
      <c r="G160" s="28" t="s">
        <v>1273</v>
      </c>
      <c r="H160" s="28" t="s">
        <v>1273</v>
      </c>
      <c r="I160" s="28" t="s">
        <v>1273</v>
      </c>
      <c r="J160" s="28" t="s">
        <v>1273</v>
      </c>
      <c r="K160" s="28" t="s">
        <v>1273</v>
      </c>
      <c r="L160" s="28" t="s">
        <v>1273</v>
      </c>
      <c r="M160" s="28" t="s">
        <v>1273</v>
      </c>
      <c r="N160" s="28" t="s">
        <v>1273</v>
      </c>
      <c r="O160" s="28" t="s">
        <v>1273</v>
      </c>
      <c r="P160" s="28" t="s">
        <v>1273</v>
      </c>
      <c r="Q160" s="28" t="s">
        <v>1274</v>
      </c>
      <c r="R160" s="28" t="s">
        <v>1274</v>
      </c>
      <c r="S160" s="28" t="s">
        <v>1274</v>
      </c>
      <c r="T160" s="28" t="s">
        <v>1274</v>
      </c>
      <c r="U160" s="28" t="s">
        <v>1274</v>
      </c>
      <c r="V160" s="28" t="s">
        <v>1274</v>
      </c>
      <c r="W160" s="28" t="s">
        <v>1274</v>
      </c>
      <c r="X160" s="28" t="s">
        <v>1274</v>
      </c>
      <c r="Y160" s="28" t="s">
        <v>1274</v>
      </c>
      <c r="Z160" s="28" t="s">
        <v>1274</v>
      </c>
      <c r="AA160" s="28" t="s">
        <v>1274</v>
      </c>
      <c r="AB160" s="28" t="s">
        <v>1274</v>
      </c>
      <c r="AC160" s="28" t="s">
        <v>1274</v>
      </c>
      <c r="AD160" s="28" t="s">
        <v>1274</v>
      </c>
      <c r="AE160" s="28" t="s">
        <v>1274</v>
      </c>
      <c r="AF160" s="28" t="s">
        <v>1274</v>
      </c>
      <c r="AG160" s="28" t="s">
        <v>1274</v>
      </c>
      <c r="AH160" s="28" t="s">
        <v>1274</v>
      </c>
      <c r="AI160" s="28" t="s">
        <v>1274</v>
      </c>
      <c r="AJ160" s="28" t="s">
        <v>1274</v>
      </c>
    </row>
    <row r="161" spans="1:36">
      <c r="A161" s="29" t="s">
        <v>1138</v>
      </c>
      <c r="B161" s="28" t="s">
        <v>1274</v>
      </c>
      <c r="C161" s="28" t="s">
        <v>1274</v>
      </c>
      <c r="D161" s="28" t="s">
        <v>1274</v>
      </c>
      <c r="E161" s="28" t="s">
        <v>1274</v>
      </c>
      <c r="F161" s="28" t="s">
        <v>1274</v>
      </c>
      <c r="G161" s="28" t="s">
        <v>1274</v>
      </c>
      <c r="H161" s="28" t="s">
        <v>1274</v>
      </c>
      <c r="I161" s="28" t="s">
        <v>1274</v>
      </c>
      <c r="J161" s="28" t="s">
        <v>1274</v>
      </c>
      <c r="K161" s="28" t="s">
        <v>1274</v>
      </c>
      <c r="L161" s="28" t="s">
        <v>1274</v>
      </c>
      <c r="M161" s="28" t="s">
        <v>1274</v>
      </c>
      <c r="N161" s="28" t="s">
        <v>1274</v>
      </c>
      <c r="O161" s="28" t="s">
        <v>1274</v>
      </c>
      <c r="P161" s="28" t="s">
        <v>1274</v>
      </c>
      <c r="Q161" s="28" t="s">
        <v>1274</v>
      </c>
      <c r="R161" s="28" t="s">
        <v>1274</v>
      </c>
      <c r="S161" s="28" t="s">
        <v>1274</v>
      </c>
      <c r="T161" s="28" t="s">
        <v>1274</v>
      </c>
      <c r="U161" s="28" t="s">
        <v>1274</v>
      </c>
      <c r="V161" s="28" t="s">
        <v>1274</v>
      </c>
      <c r="W161" s="28" t="s">
        <v>1274</v>
      </c>
      <c r="X161" s="28" t="s">
        <v>1274</v>
      </c>
      <c r="Y161" s="28" t="s">
        <v>1274</v>
      </c>
      <c r="Z161" s="28" t="s">
        <v>1274</v>
      </c>
      <c r="AA161" s="28" t="s">
        <v>1274</v>
      </c>
      <c r="AB161" s="28" t="s">
        <v>1274</v>
      </c>
      <c r="AC161" s="28" t="s">
        <v>1274</v>
      </c>
      <c r="AD161" s="28" t="s">
        <v>1274</v>
      </c>
      <c r="AE161" s="28" t="s">
        <v>1274</v>
      </c>
      <c r="AF161" s="28" t="s">
        <v>1274</v>
      </c>
      <c r="AG161" s="28" t="s">
        <v>1274</v>
      </c>
      <c r="AH161" s="28" t="s">
        <v>1274</v>
      </c>
      <c r="AI161" s="28" t="s">
        <v>1274</v>
      </c>
      <c r="AJ161" s="28" t="s">
        <v>1274</v>
      </c>
    </row>
    <row r="162" spans="1:36">
      <c r="A162" s="29" t="s">
        <v>1086</v>
      </c>
      <c r="B162" s="28" t="s">
        <v>1273</v>
      </c>
      <c r="C162" s="28" t="s">
        <v>1273</v>
      </c>
      <c r="D162" s="28" t="s">
        <v>1273</v>
      </c>
      <c r="E162" s="28" t="s">
        <v>1272</v>
      </c>
      <c r="F162" s="28" t="s">
        <v>1272</v>
      </c>
      <c r="G162" s="28" t="s">
        <v>1272</v>
      </c>
      <c r="H162" s="28" t="s">
        <v>1272</v>
      </c>
      <c r="I162" s="28" t="s">
        <v>1272</v>
      </c>
      <c r="J162" s="28" t="s">
        <v>1272</v>
      </c>
      <c r="K162" s="28" t="s">
        <v>1272</v>
      </c>
      <c r="L162" s="28" t="s">
        <v>1272</v>
      </c>
      <c r="M162" s="28" t="s">
        <v>1272</v>
      </c>
      <c r="N162" s="28" t="s">
        <v>1272</v>
      </c>
      <c r="O162" s="28" t="s">
        <v>1272</v>
      </c>
      <c r="P162" s="28" t="s">
        <v>1272</v>
      </c>
      <c r="Q162" s="28" t="s">
        <v>1272</v>
      </c>
      <c r="R162" s="28" t="s">
        <v>1272</v>
      </c>
      <c r="S162" s="28" t="s">
        <v>1272</v>
      </c>
      <c r="T162" s="28" t="s">
        <v>1273</v>
      </c>
      <c r="U162" s="28" t="s">
        <v>1273</v>
      </c>
      <c r="V162" s="28" t="s">
        <v>1273</v>
      </c>
      <c r="W162" s="28" t="s">
        <v>1273</v>
      </c>
      <c r="X162" s="28" t="s">
        <v>1273</v>
      </c>
      <c r="Y162" s="28" t="s">
        <v>1273</v>
      </c>
      <c r="Z162" s="28" t="s">
        <v>1273</v>
      </c>
      <c r="AA162" s="28" t="s">
        <v>1273</v>
      </c>
      <c r="AB162" s="28" t="s">
        <v>1273</v>
      </c>
      <c r="AC162" s="28" t="s">
        <v>1273</v>
      </c>
      <c r="AD162" s="28" t="s">
        <v>1273</v>
      </c>
      <c r="AE162" s="28" t="s">
        <v>1273</v>
      </c>
      <c r="AF162" s="28" t="s">
        <v>1273</v>
      </c>
      <c r="AG162" s="28" t="s">
        <v>1273</v>
      </c>
      <c r="AH162" s="28" t="s">
        <v>1274</v>
      </c>
      <c r="AI162" s="28" t="s">
        <v>1273</v>
      </c>
      <c r="AJ162" s="28" t="s">
        <v>1274</v>
      </c>
    </row>
    <row r="163" spans="1:36">
      <c r="A163" s="29" t="s">
        <v>1139</v>
      </c>
      <c r="B163" s="28" t="s">
        <v>1210</v>
      </c>
      <c r="C163" s="28" t="s">
        <v>1210</v>
      </c>
      <c r="D163" s="28" t="s">
        <v>1210</v>
      </c>
      <c r="E163" s="28" t="s">
        <v>1210</v>
      </c>
      <c r="F163" s="28" t="s">
        <v>1273</v>
      </c>
      <c r="G163" s="28" t="s">
        <v>1272</v>
      </c>
      <c r="H163" s="28" t="s">
        <v>1272</v>
      </c>
      <c r="I163" s="28" t="s">
        <v>1272</v>
      </c>
      <c r="J163" s="28" t="s">
        <v>1272</v>
      </c>
      <c r="K163" s="28" t="s">
        <v>1272</v>
      </c>
      <c r="L163" s="28" t="s">
        <v>1272</v>
      </c>
      <c r="M163" s="28" t="s">
        <v>1272</v>
      </c>
      <c r="N163" s="28" t="s">
        <v>1272</v>
      </c>
      <c r="O163" s="28" t="s">
        <v>1272</v>
      </c>
      <c r="P163" s="28" t="s">
        <v>1272</v>
      </c>
      <c r="Q163" s="28" t="s">
        <v>1272</v>
      </c>
      <c r="R163" s="28" t="s">
        <v>1272</v>
      </c>
      <c r="S163" s="28" t="s">
        <v>1273</v>
      </c>
      <c r="T163" s="28" t="s">
        <v>1273</v>
      </c>
      <c r="U163" s="28" t="s">
        <v>1273</v>
      </c>
      <c r="V163" s="28" t="s">
        <v>1273</v>
      </c>
      <c r="W163" s="28" t="s">
        <v>1273</v>
      </c>
      <c r="X163" s="28" t="s">
        <v>1273</v>
      </c>
      <c r="Y163" s="28" t="s">
        <v>1273</v>
      </c>
      <c r="Z163" s="28" t="s">
        <v>1273</v>
      </c>
      <c r="AA163" s="28" t="s">
        <v>1274</v>
      </c>
      <c r="AB163" s="28" t="s">
        <v>1274</v>
      </c>
      <c r="AC163" s="28" t="s">
        <v>1274</v>
      </c>
      <c r="AD163" s="28" t="s">
        <v>1273</v>
      </c>
      <c r="AE163" s="28" t="s">
        <v>1273</v>
      </c>
      <c r="AF163" s="28" t="s">
        <v>1273</v>
      </c>
      <c r="AG163" s="28" t="s">
        <v>1273</v>
      </c>
      <c r="AH163" s="28" t="s">
        <v>1273</v>
      </c>
      <c r="AI163" s="28" t="s">
        <v>1273</v>
      </c>
      <c r="AJ163" s="28" t="s">
        <v>1273</v>
      </c>
    </row>
    <row r="164" spans="1:36">
      <c r="A164" s="29" t="s">
        <v>1088</v>
      </c>
      <c r="B164" s="28" t="s">
        <v>1271</v>
      </c>
      <c r="C164" s="28" t="s">
        <v>1271</v>
      </c>
      <c r="D164" s="28" t="s">
        <v>1271</v>
      </c>
      <c r="E164" s="28" t="s">
        <v>1271</v>
      </c>
      <c r="F164" s="28" t="s">
        <v>1271</v>
      </c>
      <c r="G164" s="28" t="s">
        <v>1271</v>
      </c>
      <c r="H164" s="28" t="s">
        <v>1271</v>
      </c>
      <c r="I164" s="28" t="s">
        <v>1271</v>
      </c>
      <c r="J164" s="28" t="s">
        <v>1271</v>
      </c>
      <c r="K164" s="28" t="s">
        <v>1271</v>
      </c>
      <c r="L164" s="28" t="s">
        <v>1271</v>
      </c>
      <c r="M164" s="28" t="s">
        <v>1271</v>
      </c>
      <c r="N164" s="28" t="s">
        <v>1271</v>
      </c>
      <c r="O164" s="28" t="s">
        <v>1271</v>
      </c>
      <c r="P164" s="28" t="s">
        <v>1271</v>
      </c>
      <c r="Q164" s="28" t="s">
        <v>1271</v>
      </c>
      <c r="R164" s="28" t="s">
        <v>1271</v>
      </c>
      <c r="S164" s="28" t="s">
        <v>1271</v>
      </c>
      <c r="T164" s="28" t="s">
        <v>1271</v>
      </c>
      <c r="U164" s="28" t="s">
        <v>1271</v>
      </c>
      <c r="V164" s="28" t="s">
        <v>1271</v>
      </c>
      <c r="W164" s="28" t="s">
        <v>1271</v>
      </c>
      <c r="X164" s="28" t="s">
        <v>1271</v>
      </c>
      <c r="Y164" s="28" t="s">
        <v>1271</v>
      </c>
      <c r="Z164" s="28" t="s">
        <v>1271</v>
      </c>
      <c r="AA164" s="28" t="s">
        <v>1271</v>
      </c>
      <c r="AB164" s="28" t="s">
        <v>1271</v>
      </c>
      <c r="AC164" s="28" t="s">
        <v>1271</v>
      </c>
      <c r="AD164" s="28" t="s">
        <v>1271</v>
      </c>
      <c r="AE164" s="28" t="s">
        <v>1271</v>
      </c>
      <c r="AF164" s="28" t="s">
        <v>1271</v>
      </c>
      <c r="AG164" s="28" t="s">
        <v>1271</v>
      </c>
      <c r="AH164" s="28" t="s">
        <v>1271</v>
      </c>
      <c r="AI164" s="28" t="s">
        <v>1271</v>
      </c>
      <c r="AJ164" s="28" t="s">
        <v>1271</v>
      </c>
    </row>
    <row r="165" spans="1:36">
      <c r="A165" s="29" t="s">
        <v>1140</v>
      </c>
      <c r="B165" s="28" t="s">
        <v>1272</v>
      </c>
      <c r="C165" s="28" t="s">
        <v>1272</v>
      </c>
      <c r="D165" s="28" t="s">
        <v>1272</v>
      </c>
      <c r="E165" s="28" t="s">
        <v>1272</v>
      </c>
      <c r="F165" s="28" t="s">
        <v>1272</v>
      </c>
      <c r="G165" s="28" t="s">
        <v>1272</v>
      </c>
      <c r="H165" s="28" t="s">
        <v>1272</v>
      </c>
      <c r="I165" s="28" t="s">
        <v>1272</v>
      </c>
      <c r="J165" s="28" t="s">
        <v>1272</v>
      </c>
      <c r="K165" s="28" t="s">
        <v>1272</v>
      </c>
      <c r="L165" s="28" t="s">
        <v>1272</v>
      </c>
      <c r="M165" s="28" t="s">
        <v>1272</v>
      </c>
      <c r="N165" s="28" t="s">
        <v>1272</v>
      </c>
      <c r="O165" s="28" t="s">
        <v>1272</v>
      </c>
      <c r="P165" s="28" t="s">
        <v>1272</v>
      </c>
      <c r="Q165" s="28" t="s">
        <v>1272</v>
      </c>
      <c r="R165" s="28" t="s">
        <v>1272</v>
      </c>
      <c r="S165" s="28" t="s">
        <v>1272</v>
      </c>
      <c r="T165" s="28" t="s">
        <v>1272</v>
      </c>
      <c r="U165" s="28" t="s">
        <v>1272</v>
      </c>
      <c r="V165" s="28" t="s">
        <v>1272</v>
      </c>
      <c r="W165" s="28" t="s">
        <v>1272</v>
      </c>
      <c r="X165" s="28" t="s">
        <v>1272</v>
      </c>
      <c r="Y165" s="28" t="s">
        <v>1272</v>
      </c>
      <c r="Z165" s="28" t="s">
        <v>1272</v>
      </c>
      <c r="AA165" s="28" t="s">
        <v>1272</v>
      </c>
      <c r="AB165" s="28" t="s">
        <v>1272</v>
      </c>
      <c r="AC165" s="28" t="s">
        <v>1272</v>
      </c>
      <c r="AD165" s="28" t="s">
        <v>1272</v>
      </c>
      <c r="AE165" s="28" t="s">
        <v>1273</v>
      </c>
      <c r="AF165" s="28" t="s">
        <v>1273</v>
      </c>
      <c r="AG165" s="28" t="s">
        <v>1273</v>
      </c>
      <c r="AH165" s="28" t="s">
        <v>1273</v>
      </c>
      <c r="AI165" s="28" t="s">
        <v>1272</v>
      </c>
      <c r="AJ165" s="28" t="s">
        <v>1272</v>
      </c>
    </row>
    <row r="166" spans="1:36">
      <c r="A166" s="29" t="s">
        <v>1198</v>
      </c>
      <c r="B166" s="28" t="s">
        <v>1210</v>
      </c>
      <c r="C166" s="28" t="s">
        <v>1210</v>
      </c>
      <c r="D166" s="28" t="s">
        <v>1210</v>
      </c>
      <c r="E166" s="28" t="s">
        <v>1210</v>
      </c>
      <c r="F166" s="28" t="s">
        <v>1274</v>
      </c>
      <c r="G166" s="28" t="s">
        <v>1274</v>
      </c>
      <c r="H166" s="28" t="s">
        <v>1274</v>
      </c>
      <c r="I166" s="28" t="s">
        <v>1210</v>
      </c>
      <c r="J166" s="28" t="s">
        <v>1210</v>
      </c>
      <c r="K166" s="28" t="s">
        <v>1210</v>
      </c>
      <c r="L166" s="28" t="s">
        <v>1210</v>
      </c>
      <c r="M166" s="28" t="s">
        <v>1210</v>
      </c>
      <c r="N166" s="28" t="s">
        <v>1210</v>
      </c>
      <c r="O166" s="28" t="s">
        <v>1274</v>
      </c>
      <c r="P166" s="28" t="s">
        <v>1274</v>
      </c>
      <c r="Q166" s="28" t="s">
        <v>1274</v>
      </c>
      <c r="R166" s="28" t="s">
        <v>1274</v>
      </c>
      <c r="S166" s="28" t="s">
        <v>1274</v>
      </c>
      <c r="T166" s="28" t="s">
        <v>1274</v>
      </c>
      <c r="U166" s="28" t="s">
        <v>1274</v>
      </c>
      <c r="V166" s="28" t="s">
        <v>1274</v>
      </c>
      <c r="W166" s="28" t="s">
        <v>1274</v>
      </c>
      <c r="X166" s="28" t="s">
        <v>1274</v>
      </c>
      <c r="Y166" s="28" t="s">
        <v>1274</v>
      </c>
      <c r="Z166" s="28" t="s">
        <v>1274</v>
      </c>
      <c r="AA166" s="28" t="s">
        <v>1274</v>
      </c>
      <c r="AB166" s="28" t="s">
        <v>1274</v>
      </c>
      <c r="AC166" s="28" t="s">
        <v>1274</v>
      </c>
      <c r="AD166" s="28" t="s">
        <v>1274</v>
      </c>
      <c r="AE166" s="28" t="s">
        <v>1274</v>
      </c>
      <c r="AF166" s="28" t="s">
        <v>1274</v>
      </c>
      <c r="AG166" s="28" t="s">
        <v>1274</v>
      </c>
      <c r="AH166" s="28" t="s">
        <v>1274</v>
      </c>
      <c r="AI166" s="28" t="s">
        <v>1274</v>
      </c>
      <c r="AJ166" s="28" t="s">
        <v>1274</v>
      </c>
    </row>
    <row r="167" spans="1:36">
      <c r="A167" s="29" t="s">
        <v>1279</v>
      </c>
      <c r="B167" s="28" t="s">
        <v>1271</v>
      </c>
      <c r="C167" s="28" t="s">
        <v>1271</v>
      </c>
      <c r="D167" s="28" t="s">
        <v>1271</v>
      </c>
      <c r="E167" s="28" t="s">
        <v>1271</v>
      </c>
      <c r="F167" s="28" t="s">
        <v>1271</v>
      </c>
      <c r="G167" s="28" t="s">
        <v>1271</v>
      </c>
      <c r="H167" s="28" t="s">
        <v>1271</v>
      </c>
      <c r="I167" s="28" t="s">
        <v>1271</v>
      </c>
      <c r="J167" s="28" t="s">
        <v>1271</v>
      </c>
      <c r="K167" s="28" t="s">
        <v>1271</v>
      </c>
      <c r="L167" s="28" t="s">
        <v>1271</v>
      </c>
      <c r="M167" s="28" t="s">
        <v>1271</v>
      </c>
      <c r="N167" s="28" t="s">
        <v>1271</v>
      </c>
      <c r="O167" s="28" t="s">
        <v>1271</v>
      </c>
      <c r="P167" s="28" t="s">
        <v>1271</v>
      </c>
      <c r="Q167" s="28" t="s">
        <v>1271</v>
      </c>
      <c r="R167" s="28" t="s">
        <v>1271</v>
      </c>
      <c r="S167" s="28" t="s">
        <v>1271</v>
      </c>
      <c r="T167" s="28" t="s">
        <v>1271</v>
      </c>
      <c r="U167" s="28" t="s">
        <v>1271</v>
      </c>
      <c r="V167" s="28" t="s">
        <v>1271</v>
      </c>
      <c r="W167" s="28" t="s">
        <v>1272</v>
      </c>
      <c r="X167" s="28" t="s">
        <v>1272</v>
      </c>
      <c r="Y167" s="28" t="s">
        <v>1272</v>
      </c>
      <c r="Z167" s="28" t="s">
        <v>1272</v>
      </c>
      <c r="AA167" s="28" t="s">
        <v>1272</v>
      </c>
      <c r="AB167" s="28" t="s">
        <v>1272</v>
      </c>
      <c r="AC167" s="28" t="s">
        <v>1272</v>
      </c>
      <c r="AD167" s="28" t="s">
        <v>1272</v>
      </c>
      <c r="AE167" s="28" t="s">
        <v>1272</v>
      </c>
      <c r="AF167" s="28" t="s">
        <v>1272</v>
      </c>
      <c r="AG167" s="28" t="s">
        <v>1272</v>
      </c>
      <c r="AH167" s="28" t="s">
        <v>1272</v>
      </c>
      <c r="AI167" s="28" t="s">
        <v>1272</v>
      </c>
      <c r="AJ167" s="28" t="s">
        <v>1272</v>
      </c>
    </row>
    <row r="168" spans="1:36">
      <c r="A168" s="29" t="s">
        <v>1142</v>
      </c>
      <c r="B168" s="28" t="s">
        <v>1274</v>
      </c>
      <c r="C168" s="28" t="s">
        <v>1274</v>
      </c>
      <c r="D168" s="28" t="s">
        <v>1274</v>
      </c>
      <c r="E168" s="28" t="s">
        <v>1273</v>
      </c>
      <c r="F168" s="28" t="s">
        <v>1273</v>
      </c>
      <c r="G168" s="28" t="s">
        <v>1273</v>
      </c>
      <c r="H168" s="28" t="s">
        <v>1273</v>
      </c>
      <c r="I168" s="28" t="s">
        <v>1273</v>
      </c>
      <c r="J168" s="28" t="s">
        <v>1273</v>
      </c>
      <c r="K168" s="28" t="s">
        <v>1273</v>
      </c>
      <c r="L168" s="28" t="s">
        <v>1273</v>
      </c>
      <c r="M168" s="28" t="s">
        <v>1273</v>
      </c>
      <c r="N168" s="28" t="s">
        <v>1273</v>
      </c>
      <c r="O168" s="28" t="s">
        <v>1273</v>
      </c>
      <c r="P168" s="28" t="s">
        <v>1273</v>
      </c>
      <c r="Q168" s="28" t="s">
        <v>1273</v>
      </c>
      <c r="R168" s="28" t="s">
        <v>1273</v>
      </c>
      <c r="S168" s="28" t="s">
        <v>1274</v>
      </c>
      <c r="T168" s="28" t="s">
        <v>1274</v>
      </c>
      <c r="U168" s="28" t="s">
        <v>1274</v>
      </c>
      <c r="V168" s="28" t="s">
        <v>1274</v>
      </c>
      <c r="W168" s="28" t="s">
        <v>1274</v>
      </c>
      <c r="X168" s="28" t="s">
        <v>1274</v>
      </c>
      <c r="Y168" s="28" t="s">
        <v>1274</v>
      </c>
      <c r="Z168" s="28" t="s">
        <v>1274</v>
      </c>
      <c r="AA168" s="28" t="s">
        <v>1274</v>
      </c>
      <c r="AB168" s="28" t="s">
        <v>1274</v>
      </c>
      <c r="AC168" s="28" t="s">
        <v>1274</v>
      </c>
      <c r="AD168" s="28" t="s">
        <v>1274</v>
      </c>
      <c r="AE168" s="28" t="s">
        <v>1274</v>
      </c>
      <c r="AF168" s="28" t="s">
        <v>1274</v>
      </c>
      <c r="AG168" s="28" t="s">
        <v>1274</v>
      </c>
      <c r="AH168" s="28" t="s">
        <v>1274</v>
      </c>
      <c r="AI168" s="28" t="s">
        <v>1274</v>
      </c>
      <c r="AJ168" s="28" t="s">
        <v>1274</v>
      </c>
    </row>
    <row r="169" spans="1:36">
      <c r="A169" s="29" t="s">
        <v>1090</v>
      </c>
      <c r="B169" s="28" t="s">
        <v>1272</v>
      </c>
      <c r="C169" s="28" t="s">
        <v>1272</v>
      </c>
      <c r="D169" s="28" t="s">
        <v>1272</v>
      </c>
      <c r="E169" s="28" t="s">
        <v>1272</v>
      </c>
      <c r="F169" s="28" t="s">
        <v>1272</v>
      </c>
      <c r="G169" s="28" t="s">
        <v>1272</v>
      </c>
      <c r="H169" s="28" t="s">
        <v>1272</v>
      </c>
      <c r="I169" s="28" t="s">
        <v>1271</v>
      </c>
      <c r="J169" s="28" t="s">
        <v>1271</v>
      </c>
      <c r="K169" s="28" t="s">
        <v>1271</v>
      </c>
      <c r="L169" s="28" t="s">
        <v>1271</v>
      </c>
      <c r="M169" s="28" t="s">
        <v>1271</v>
      </c>
      <c r="N169" s="28" t="s">
        <v>1271</v>
      </c>
      <c r="O169" s="28" t="s">
        <v>1271</v>
      </c>
      <c r="P169" s="28" t="s">
        <v>1271</v>
      </c>
      <c r="Q169" s="28" t="s">
        <v>1271</v>
      </c>
      <c r="R169" s="28" t="s">
        <v>1271</v>
      </c>
      <c r="S169" s="28" t="s">
        <v>1271</v>
      </c>
      <c r="T169" s="28" t="s">
        <v>1271</v>
      </c>
      <c r="U169" s="28" t="s">
        <v>1271</v>
      </c>
      <c r="V169" s="28" t="s">
        <v>1271</v>
      </c>
      <c r="W169" s="28" t="s">
        <v>1271</v>
      </c>
      <c r="X169" s="28" t="s">
        <v>1272</v>
      </c>
      <c r="Y169" s="28" t="s">
        <v>1272</v>
      </c>
      <c r="Z169" s="28" t="s">
        <v>1272</v>
      </c>
      <c r="AA169" s="28" t="s">
        <v>1272</v>
      </c>
      <c r="AB169" s="28" t="s">
        <v>1272</v>
      </c>
      <c r="AC169" s="28" t="s">
        <v>1272</v>
      </c>
      <c r="AD169" s="28" t="s">
        <v>1271</v>
      </c>
      <c r="AE169" s="28" t="s">
        <v>1271</v>
      </c>
      <c r="AF169" s="28" t="s">
        <v>1271</v>
      </c>
      <c r="AG169" s="28" t="s">
        <v>1272</v>
      </c>
      <c r="AH169" s="28" t="s">
        <v>1272</v>
      </c>
      <c r="AI169" s="28" t="s">
        <v>1272</v>
      </c>
      <c r="AJ169" s="28" t="s">
        <v>1272</v>
      </c>
    </row>
    <row r="170" spans="1:36">
      <c r="A170" s="29" t="s">
        <v>1143</v>
      </c>
      <c r="B170" s="28" t="s">
        <v>1210</v>
      </c>
      <c r="C170" s="28" t="s">
        <v>1210</v>
      </c>
      <c r="D170" s="28" t="s">
        <v>1210</v>
      </c>
      <c r="E170" s="28" t="s">
        <v>1210</v>
      </c>
      <c r="F170" s="28" t="s">
        <v>1210</v>
      </c>
      <c r="G170" s="28" t="s">
        <v>1210</v>
      </c>
      <c r="H170" s="28" t="s">
        <v>1210</v>
      </c>
      <c r="I170" s="28" t="s">
        <v>1210</v>
      </c>
      <c r="J170" s="28" t="s">
        <v>1210</v>
      </c>
      <c r="K170" s="28" t="s">
        <v>1210</v>
      </c>
      <c r="L170" s="28" t="s">
        <v>1210</v>
      </c>
      <c r="M170" s="28" t="s">
        <v>1210</v>
      </c>
      <c r="N170" s="28" t="s">
        <v>1210</v>
      </c>
      <c r="O170" s="28" t="s">
        <v>1210</v>
      </c>
      <c r="P170" s="28" t="s">
        <v>1210</v>
      </c>
      <c r="Q170" s="28" t="s">
        <v>1210</v>
      </c>
      <c r="R170" s="28" t="s">
        <v>1210</v>
      </c>
      <c r="S170" s="28" t="s">
        <v>1210</v>
      </c>
      <c r="T170" s="28" t="s">
        <v>1210</v>
      </c>
      <c r="U170" s="28" t="s">
        <v>1273</v>
      </c>
      <c r="V170" s="28" t="s">
        <v>1273</v>
      </c>
      <c r="W170" s="28" t="s">
        <v>1273</v>
      </c>
      <c r="X170" s="28" t="s">
        <v>1273</v>
      </c>
      <c r="Y170" s="28" t="s">
        <v>1273</v>
      </c>
      <c r="Z170" s="28" t="s">
        <v>1273</v>
      </c>
      <c r="AA170" s="28" t="s">
        <v>1273</v>
      </c>
      <c r="AB170" s="28" t="s">
        <v>1273</v>
      </c>
      <c r="AC170" s="28" t="s">
        <v>1273</v>
      </c>
      <c r="AD170" s="28" t="s">
        <v>1273</v>
      </c>
      <c r="AE170" s="28" t="s">
        <v>1273</v>
      </c>
      <c r="AF170" s="28" t="s">
        <v>1273</v>
      </c>
      <c r="AG170" s="28" t="s">
        <v>1273</v>
      </c>
      <c r="AH170" s="28" t="s">
        <v>1273</v>
      </c>
      <c r="AI170" s="28" t="s">
        <v>1273</v>
      </c>
      <c r="AJ170" s="28" t="s">
        <v>1273</v>
      </c>
    </row>
    <row r="171" spans="1:36">
      <c r="A171" s="29" t="s">
        <v>1144</v>
      </c>
      <c r="B171" s="28" t="s">
        <v>1273</v>
      </c>
      <c r="C171" s="28" t="s">
        <v>1273</v>
      </c>
      <c r="D171" s="28" t="s">
        <v>1273</v>
      </c>
      <c r="E171" s="28" t="s">
        <v>1273</v>
      </c>
      <c r="F171" s="28" t="s">
        <v>1273</v>
      </c>
      <c r="G171" s="28" t="s">
        <v>1273</v>
      </c>
      <c r="H171" s="28" t="s">
        <v>1273</v>
      </c>
      <c r="I171" s="28" t="s">
        <v>1273</v>
      </c>
      <c r="J171" s="28" t="s">
        <v>1273</v>
      </c>
      <c r="K171" s="28" t="s">
        <v>1273</v>
      </c>
      <c r="L171" s="28" t="s">
        <v>1273</v>
      </c>
      <c r="M171" s="28" t="s">
        <v>1273</v>
      </c>
      <c r="N171" s="28" t="s">
        <v>1273</v>
      </c>
      <c r="O171" s="28" t="s">
        <v>1273</v>
      </c>
      <c r="P171" s="28" t="s">
        <v>1273</v>
      </c>
      <c r="Q171" s="28" t="s">
        <v>1273</v>
      </c>
      <c r="R171" s="28" t="s">
        <v>1273</v>
      </c>
      <c r="S171" s="28" t="s">
        <v>1273</v>
      </c>
      <c r="T171" s="28" t="s">
        <v>1273</v>
      </c>
      <c r="U171" s="28" t="s">
        <v>1273</v>
      </c>
      <c r="V171" s="28" t="s">
        <v>1273</v>
      </c>
      <c r="W171" s="28" t="s">
        <v>1273</v>
      </c>
      <c r="X171" s="28" t="s">
        <v>1273</v>
      </c>
      <c r="Y171" s="28" t="s">
        <v>1273</v>
      </c>
      <c r="Z171" s="28" t="s">
        <v>1273</v>
      </c>
      <c r="AA171" s="28" t="s">
        <v>1273</v>
      </c>
      <c r="AB171" s="28" t="s">
        <v>1273</v>
      </c>
      <c r="AC171" s="28" t="s">
        <v>1274</v>
      </c>
      <c r="AD171" s="28" t="s">
        <v>1274</v>
      </c>
      <c r="AE171" s="28" t="s">
        <v>1274</v>
      </c>
      <c r="AF171" s="28" t="s">
        <v>1274</v>
      </c>
      <c r="AG171" s="28" t="s">
        <v>1274</v>
      </c>
      <c r="AH171" s="28" t="s">
        <v>1274</v>
      </c>
      <c r="AI171" s="28" t="s">
        <v>1274</v>
      </c>
      <c r="AJ171" s="28" t="s">
        <v>1274</v>
      </c>
    </row>
    <row r="172" spans="1:36">
      <c r="A172" s="29" t="s">
        <v>1092</v>
      </c>
      <c r="B172" s="28" t="s">
        <v>1271</v>
      </c>
      <c r="C172" s="28" t="s">
        <v>1271</v>
      </c>
      <c r="D172" s="28" t="s">
        <v>1271</v>
      </c>
      <c r="E172" s="28" t="s">
        <v>1271</v>
      </c>
      <c r="F172" s="28" t="s">
        <v>1271</v>
      </c>
      <c r="G172" s="28" t="s">
        <v>1271</v>
      </c>
      <c r="H172" s="28" t="s">
        <v>1271</v>
      </c>
      <c r="I172" s="28" t="s">
        <v>1271</v>
      </c>
      <c r="J172" s="28" t="s">
        <v>1271</v>
      </c>
      <c r="K172" s="28" t="s">
        <v>1271</v>
      </c>
      <c r="L172" s="28" t="s">
        <v>1271</v>
      </c>
      <c r="M172" s="28" t="s">
        <v>1271</v>
      </c>
      <c r="N172" s="28" t="s">
        <v>1271</v>
      </c>
      <c r="O172" s="28" t="s">
        <v>1271</v>
      </c>
      <c r="P172" s="28" t="s">
        <v>1271</v>
      </c>
      <c r="Q172" s="28" t="s">
        <v>1271</v>
      </c>
      <c r="R172" s="28" t="s">
        <v>1271</v>
      </c>
      <c r="S172" s="28" t="s">
        <v>1271</v>
      </c>
      <c r="T172" s="28" t="s">
        <v>1271</v>
      </c>
      <c r="U172" s="28" t="s">
        <v>1271</v>
      </c>
      <c r="V172" s="28" t="s">
        <v>1271</v>
      </c>
      <c r="W172" s="28" t="s">
        <v>1271</v>
      </c>
      <c r="X172" s="28" t="s">
        <v>1271</v>
      </c>
      <c r="Y172" s="28" t="s">
        <v>1271</v>
      </c>
      <c r="Z172" s="28" t="s">
        <v>1271</v>
      </c>
      <c r="AA172" s="28" t="s">
        <v>1271</v>
      </c>
      <c r="AB172" s="28" t="s">
        <v>1271</v>
      </c>
      <c r="AC172" s="28" t="s">
        <v>1271</v>
      </c>
      <c r="AD172" s="28" t="s">
        <v>1271</v>
      </c>
      <c r="AE172" s="28" t="s">
        <v>1271</v>
      </c>
      <c r="AF172" s="28" t="s">
        <v>1271</v>
      </c>
      <c r="AG172" s="28" t="s">
        <v>1271</v>
      </c>
      <c r="AH172" s="28" t="s">
        <v>1271</v>
      </c>
      <c r="AI172" s="28" t="s">
        <v>1271</v>
      </c>
      <c r="AJ172" s="28" t="s">
        <v>1271</v>
      </c>
    </row>
    <row r="173" spans="1:36">
      <c r="A173" s="29" t="s">
        <v>1145</v>
      </c>
      <c r="B173" s="28" t="s">
        <v>1274</v>
      </c>
      <c r="C173" s="28" t="s">
        <v>1274</v>
      </c>
      <c r="D173" s="28" t="s">
        <v>1274</v>
      </c>
      <c r="E173" s="28" t="s">
        <v>1274</v>
      </c>
      <c r="F173" s="28" t="s">
        <v>1274</v>
      </c>
      <c r="G173" s="28" t="s">
        <v>1274</v>
      </c>
      <c r="H173" s="28" t="s">
        <v>1274</v>
      </c>
      <c r="I173" s="28" t="s">
        <v>1274</v>
      </c>
      <c r="J173" s="28" t="s">
        <v>1274</v>
      </c>
      <c r="K173" s="28" t="s">
        <v>1274</v>
      </c>
      <c r="L173" s="28" t="s">
        <v>1274</v>
      </c>
      <c r="M173" s="28" t="s">
        <v>1274</v>
      </c>
      <c r="N173" s="28" t="s">
        <v>1274</v>
      </c>
      <c r="O173" s="28" t="s">
        <v>1274</v>
      </c>
      <c r="P173" s="28" t="s">
        <v>1274</v>
      </c>
      <c r="Q173" s="28" t="s">
        <v>1274</v>
      </c>
      <c r="R173" s="28" t="s">
        <v>1274</v>
      </c>
      <c r="S173" s="28" t="s">
        <v>1274</v>
      </c>
      <c r="T173" s="28" t="s">
        <v>1274</v>
      </c>
      <c r="U173" s="28" t="s">
        <v>1274</v>
      </c>
      <c r="V173" s="28" t="s">
        <v>1274</v>
      </c>
      <c r="W173" s="28" t="s">
        <v>1274</v>
      </c>
      <c r="X173" s="28" t="s">
        <v>1274</v>
      </c>
      <c r="Y173" s="28" t="s">
        <v>1274</v>
      </c>
      <c r="Z173" s="28" t="s">
        <v>1274</v>
      </c>
      <c r="AA173" s="28" t="s">
        <v>1274</v>
      </c>
      <c r="AB173" s="28" t="s">
        <v>1274</v>
      </c>
      <c r="AC173" s="28" t="s">
        <v>1274</v>
      </c>
      <c r="AD173" s="28" t="s">
        <v>1274</v>
      </c>
      <c r="AE173" s="28" t="s">
        <v>1274</v>
      </c>
      <c r="AF173" s="28" t="s">
        <v>1274</v>
      </c>
      <c r="AG173" s="28" t="s">
        <v>1274</v>
      </c>
      <c r="AH173" s="28" t="s">
        <v>1274</v>
      </c>
      <c r="AI173" s="28" t="s">
        <v>1274</v>
      </c>
      <c r="AJ173" s="28" t="s">
        <v>1274</v>
      </c>
    </row>
    <row r="174" spans="1:36">
      <c r="A174" s="29" t="s">
        <v>1202</v>
      </c>
      <c r="B174" s="28" t="s">
        <v>1210</v>
      </c>
      <c r="C174" s="28" t="s">
        <v>1210</v>
      </c>
      <c r="D174" s="28" t="s">
        <v>1210</v>
      </c>
      <c r="E174" s="28" t="s">
        <v>1210</v>
      </c>
      <c r="F174" s="28" t="s">
        <v>1210</v>
      </c>
      <c r="G174" s="28" t="s">
        <v>1210</v>
      </c>
      <c r="H174" s="28" t="s">
        <v>1210</v>
      </c>
      <c r="I174" s="28" t="s">
        <v>1210</v>
      </c>
      <c r="J174" s="28" t="s">
        <v>1210</v>
      </c>
      <c r="K174" s="28" t="s">
        <v>1210</v>
      </c>
      <c r="L174" s="28" t="s">
        <v>1210</v>
      </c>
      <c r="M174" s="28" t="s">
        <v>1210</v>
      </c>
      <c r="N174" s="28" t="s">
        <v>1210</v>
      </c>
      <c r="O174" s="28" t="s">
        <v>1210</v>
      </c>
      <c r="P174" s="28" t="s">
        <v>1210</v>
      </c>
      <c r="Q174" s="28" t="s">
        <v>1210</v>
      </c>
      <c r="R174" s="28" t="s">
        <v>1210</v>
      </c>
      <c r="S174" s="28" t="s">
        <v>1210</v>
      </c>
      <c r="T174" s="28" t="s">
        <v>1210</v>
      </c>
      <c r="U174" s="28" t="s">
        <v>1210</v>
      </c>
      <c r="V174" s="28" t="s">
        <v>1210</v>
      </c>
      <c r="W174" s="28" t="s">
        <v>1210</v>
      </c>
      <c r="X174" s="28" t="s">
        <v>1210</v>
      </c>
      <c r="Y174" s="28" t="s">
        <v>1274</v>
      </c>
      <c r="Z174" s="28" t="s">
        <v>1274</v>
      </c>
      <c r="AA174" s="28" t="s">
        <v>1274</v>
      </c>
      <c r="AB174" s="28" t="s">
        <v>1274</v>
      </c>
      <c r="AC174" s="28" t="s">
        <v>1274</v>
      </c>
      <c r="AD174" s="28" t="s">
        <v>1274</v>
      </c>
      <c r="AE174" s="28" t="s">
        <v>1274</v>
      </c>
      <c r="AF174" s="28" t="s">
        <v>1274</v>
      </c>
      <c r="AG174" s="28" t="s">
        <v>1274</v>
      </c>
      <c r="AH174" s="28" t="s">
        <v>1274</v>
      </c>
      <c r="AI174" s="28" t="s">
        <v>1274</v>
      </c>
      <c r="AJ174" s="28" t="s">
        <v>1274</v>
      </c>
    </row>
    <row r="175" spans="1:36">
      <c r="A175" s="29" t="s">
        <v>1146</v>
      </c>
      <c r="B175" s="28" t="s">
        <v>1210</v>
      </c>
      <c r="C175" s="28" t="s">
        <v>1210</v>
      </c>
      <c r="D175" s="28" t="s">
        <v>1210</v>
      </c>
      <c r="E175" s="28" t="s">
        <v>1210</v>
      </c>
      <c r="F175" s="28" t="s">
        <v>1210</v>
      </c>
      <c r="G175" s="28" t="s">
        <v>1272</v>
      </c>
      <c r="H175" s="28" t="s">
        <v>1272</v>
      </c>
      <c r="I175" s="28" t="s">
        <v>1272</v>
      </c>
      <c r="J175" s="28" t="s">
        <v>1272</v>
      </c>
      <c r="K175" s="28" t="s">
        <v>1273</v>
      </c>
      <c r="L175" s="28" t="s">
        <v>1273</v>
      </c>
      <c r="M175" s="28" t="s">
        <v>1273</v>
      </c>
      <c r="N175" s="28" t="s">
        <v>1273</v>
      </c>
      <c r="O175" s="28" t="s">
        <v>1273</v>
      </c>
      <c r="P175" s="28" t="s">
        <v>1273</v>
      </c>
      <c r="Q175" s="28" t="s">
        <v>1273</v>
      </c>
      <c r="R175" s="28" t="s">
        <v>1273</v>
      </c>
      <c r="S175" s="28" t="s">
        <v>1273</v>
      </c>
      <c r="T175" s="28" t="s">
        <v>1273</v>
      </c>
      <c r="U175" s="28" t="s">
        <v>1273</v>
      </c>
      <c r="V175" s="28" t="s">
        <v>1274</v>
      </c>
      <c r="W175" s="28" t="s">
        <v>1274</v>
      </c>
      <c r="X175" s="28" t="s">
        <v>1274</v>
      </c>
      <c r="Y175" s="28" t="s">
        <v>1274</v>
      </c>
      <c r="Z175" s="28" t="s">
        <v>1274</v>
      </c>
      <c r="AA175" s="28" t="s">
        <v>1274</v>
      </c>
      <c r="AB175" s="28" t="s">
        <v>1274</v>
      </c>
      <c r="AC175" s="28" t="s">
        <v>1274</v>
      </c>
      <c r="AD175" s="28" t="s">
        <v>1274</v>
      </c>
      <c r="AE175" s="28" t="s">
        <v>1274</v>
      </c>
      <c r="AF175" s="28" t="s">
        <v>1274</v>
      </c>
      <c r="AG175" s="28" t="s">
        <v>1274</v>
      </c>
      <c r="AH175" s="28" t="s">
        <v>1274</v>
      </c>
      <c r="AI175" s="28" t="s">
        <v>1274</v>
      </c>
      <c r="AJ175" s="28" t="s">
        <v>1274</v>
      </c>
    </row>
    <row r="176" spans="1:36">
      <c r="A176" s="29" t="s">
        <v>1147</v>
      </c>
      <c r="B176" s="28" t="s">
        <v>1210</v>
      </c>
      <c r="C176" s="28" t="s">
        <v>1210</v>
      </c>
      <c r="D176" s="28" t="s">
        <v>1210</v>
      </c>
      <c r="E176" s="28" t="s">
        <v>1210</v>
      </c>
      <c r="F176" s="28" t="s">
        <v>1210</v>
      </c>
      <c r="G176" s="28" t="s">
        <v>1273</v>
      </c>
      <c r="H176" s="28" t="s">
        <v>1273</v>
      </c>
      <c r="I176" s="28" t="s">
        <v>1273</v>
      </c>
      <c r="J176" s="28" t="s">
        <v>1273</v>
      </c>
      <c r="K176" s="28" t="s">
        <v>1273</v>
      </c>
      <c r="L176" s="28" t="s">
        <v>1274</v>
      </c>
      <c r="M176" s="28" t="s">
        <v>1274</v>
      </c>
      <c r="N176" s="28" t="s">
        <v>1274</v>
      </c>
      <c r="O176" s="28" t="s">
        <v>1274</v>
      </c>
      <c r="P176" s="28" t="s">
        <v>1274</v>
      </c>
      <c r="Q176" s="28" t="s">
        <v>1274</v>
      </c>
      <c r="R176" s="28" t="s">
        <v>1274</v>
      </c>
      <c r="S176" s="28" t="s">
        <v>1274</v>
      </c>
      <c r="T176" s="28" t="s">
        <v>1274</v>
      </c>
      <c r="U176" s="28" t="s">
        <v>1274</v>
      </c>
      <c r="V176" s="28" t="s">
        <v>1274</v>
      </c>
      <c r="W176" s="28" t="s">
        <v>1274</v>
      </c>
      <c r="X176" s="28" t="s">
        <v>1274</v>
      </c>
      <c r="Y176" s="28" t="s">
        <v>1274</v>
      </c>
      <c r="Z176" s="28" t="s">
        <v>1274</v>
      </c>
      <c r="AA176" s="28" t="s">
        <v>1274</v>
      </c>
      <c r="AB176" s="28" t="s">
        <v>1274</v>
      </c>
      <c r="AC176" s="28" t="s">
        <v>1274</v>
      </c>
      <c r="AD176" s="28" t="s">
        <v>1274</v>
      </c>
      <c r="AE176" s="28" t="s">
        <v>1274</v>
      </c>
      <c r="AF176" s="28" t="s">
        <v>1274</v>
      </c>
      <c r="AG176" s="28" t="s">
        <v>1274</v>
      </c>
      <c r="AH176" s="28" t="s">
        <v>1274</v>
      </c>
      <c r="AI176" s="28" t="s">
        <v>1274</v>
      </c>
      <c r="AJ176" s="28" t="s">
        <v>1274</v>
      </c>
    </row>
    <row r="177" spans="1:36">
      <c r="A177" s="29" t="s">
        <v>1148</v>
      </c>
      <c r="B177" s="28" t="s">
        <v>1271</v>
      </c>
      <c r="C177" s="28" t="s">
        <v>1272</v>
      </c>
      <c r="D177" s="28" t="s">
        <v>1271</v>
      </c>
      <c r="E177" s="28" t="s">
        <v>1271</v>
      </c>
      <c r="F177" s="28" t="s">
        <v>1271</v>
      </c>
      <c r="G177" s="28" t="s">
        <v>1272</v>
      </c>
      <c r="H177" s="28" t="s">
        <v>1272</v>
      </c>
      <c r="I177" s="28" t="s">
        <v>1272</v>
      </c>
      <c r="J177" s="28" t="s">
        <v>1272</v>
      </c>
      <c r="K177" s="28" t="s">
        <v>1272</v>
      </c>
      <c r="L177" s="28" t="s">
        <v>1272</v>
      </c>
      <c r="M177" s="28" t="s">
        <v>1271</v>
      </c>
      <c r="N177" s="28" t="s">
        <v>1271</v>
      </c>
      <c r="O177" s="28" t="s">
        <v>1271</v>
      </c>
      <c r="P177" s="28" t="s">
        <v>1271</v>
      </c>
      <c r="Q177" s="28" t="s">
        <v>1271</v>
      </c>
      <c r="R177" s="28" t="s">
        <v>1271</v>
      </c>
      <c r="S177" s="28" t="s">
        <v>1271</v>
      </c>
      <c r="T177" s="28" t="s">
        <v>1271</v>
      </c>
      <c r="U177" s="28" t="s">
        <v>1271</v>
      </c>
      <c r="V177" s="28" t="s">
        <v>1271</v>
      </c>
      <c r="W177" s="28" t="s">
        <v>1272</v>
      </c>
      <c r="X177" s="28" t="s">
        <v>1271</v>
      </c>
      <c r="Y177" s="28" t="s">
        <v>1272</v>
      </c>
      <c r="Z177" s="28" t="s">
        <v>1272</v>
      </c>
      <c r="AA177" s="28" t="s">
        <v>1272</v>
      </c>
      <c r="AB177" s="28" t="s">
        <v>1272</v>
      </c>
      <c r="AC177" s="28" t="s">
        <v>1272</v>
      </c>
      <c r="AD177" s="28" t="s">
        <v>1272</v>
      </c>
      <c r="AE177" s="28" t="s">
        <v>1272</v>
      </c>
      <c r="AF177" s="28" t="s">
        <v>1272</v>
      </c>
      <c r="AG177" s="28" t="s">
        <v>1272</v>
      </c>
      <c r="AH177" s="28" t="s">
        <v>1272</v>
      </c>
      <c r="AI177" s="28" t="s">
        <v>1272</v>
      </c>
      <c r="AJ177" s="28" t="s">
        <v>1272</v>
      </c>
    </row>
    <row r="178" spans="1:36">
      <c r="A178" s="29" t="s">
        <v>391</v>
      </c>
      <c r="B178" s="28" t="s">
        <v>1271</v>
      </c>
      <c r="C178" s="28" t="s">
        <v>1271</v>
      </c>
      <c r="D178" s="28" t="s">
        <v>1271</v>
      </c>
      <c r="E178" s="28" t="s">
        <v>1271</v>
      </c>
      <c r="F178" s="28" t="s">
        <v>1271</v>
      </c>
      <c r="G178" s="28" t="s">
        <v>1271</v>
      </c>
      <c r="H178" s="28" t="s">
        <v>1271</v>
      </c>
      <c r="I178" s="28" t="s">
        <v>1271</v>
      </c>
      <c r="J178" s="28" t="s">
        <v>1271</v>
      </c>
      <c r="K178" s="28" t="s">
        <v>1271</v>
      </c>
      <c r="L178" s="28" t="s">
        <v>1271</v>
      </c>
      <c r="M178" s="28" t="s">
        <v>1271</v>
      </c>
      <c r="N178" s="28" t="s">
        <v>1271</v>
      </c>
      <c r="O178" s="28" t="s">
        <v>1271</v>
      </c>
      <c r="P178" s="28" t="s">
        <v>1271</v>
      </c>
      <c r="Q178" s="28" t="s">
        <v>1271</v>
      </c>
      <c r="R178" s="28" t="s">
        <v>1271</v>
      </c>
      <c r="S178" s="28" t="s">
        <v>1271</v>
      </c>
      <c r="T178" s="28" t="s">
        <v>1271</v>
      </c>
      <c r="U178" s="28" t="s">
        <v>1271</v>
      </c>
      <c r="V178" s="28" t="s">
        <v>1271</v>
      </c>
      <c r="W178" s="28" t="s">
        <v>1271</v>
      </c>
      <c r="X178" s="28" t="s">
        <v>1271</v>
      </c>
      <c r="Y178" s="28" t="s">
        <v>1271</v>
      </c>
      <c r="Z178" s="28" t="s">
        <v>1271</v>
      </c>
      <c r="AA178" s="28" t="s">
        <v>1271</v>
      </c>
      <c r="AB178" s="28" t="s">
        <v>1271</v>
      </c>
      <c r="AC178" s="28" t="s">
        <v>1271</v>
      </c>
      <c r="AD178" s="28" t="s">
        <v>1271</v>
      </c>
      <c r="AE178" s="28" t="s">
        <v>1271</v>
      </c>
      <c r="AF178" s="28" t="s">
        <v>1271</v>
      </c>
      <c r="AG178" s="28" t="s">
        <v>1271</v>
      </c>
      <c r="AH178" s="28" t="s">
        <v>1271</v>
      </c>
      <c r="AI178" s="28" t="s">
        <v>1271</v>
      </c>
      <c r="AJ178" s="28" t="s">
        <v>1271</v>
      </c>
    </row>
    <row r="179" spans="1:36">
      <c r="A179" s="29" t="s">
        <v>1094</v>
      </c>
      <c r="B179" s="28" t="s">
        <v>1272</v>
      </c>
      <c r="C179" s="28" t="s">
        <v>1273</v>
      </c>
      <c r="D179" s="28" t="s">
        <v>1273</v>
      </c>
      <c r="E179" s="28" t="s">
        <v>1273</v>
      </c>
      <c r="F179" s="28" t="s">
        <v>1273</v>
      </c>
      <c r="G179" s="28" t="s">
        <v>1273</v>
      </c>
      <c r="H179" s="28" t="s">
        <v>1273</v>
      </c>
      <c r="I179" s="28" t="s">
        <v>1273</v>
      </c>
      <c r="J179" s="28" t="s">
        <v>1273</v>
      </c>
      <c r="K179" s="28" t="s">
        <v>1273</v>
      </c>
      <c r="L179" s="28" t="s">
        <v>1273</v>
      </c>
      <c r="M179" s="28" t="s">
        <v>1272</v>
      </c>
      <c r="N179" s="28" t="s">
        <v>1273</v>
      </c>
      <c r="O179" s="28" t="s">
        <v>1273</v>
      </c>
      <c r="P179" s="28" t="s">
        <v>1272</v>
      </c>
      <c r="Q179" s="28" t="s">
        <v>1272</v>
      </c>
      <c r="R179" s="28" t="s">
        <v>1272</v>
      </c>
      <c r="S179" s="28" t="s">
        <v>1273</v>
      </c>
      <c r="T179" s="28" t="s">
        <v>1273</v>
      </c>
      <c r="U179" s="28" t="s">
        <v>1273</v>
      </c>
      <c r="V179" s="28" t="s">
        <v>1273</v>
      </c>
      <c r="W179" s="28" t="s">
        <v>1273</v>
      </c>
      <c r="X179" s="28" t="s">
        <v>1273</v>
      </c>
      <c r="Y179" s="28" t="s">
        <v>1273</v>
      </c>
      <c r="Z179" s="28" t="s">
        <v>1273</v>
      </c>
      <c r="AA179" s="28" t="s">
        <v>1273</v>
      </c>
      <c r="AB179" s="28" t="s">
        <v>1273</v>
      </c>
      <c r="AC179" s="28" t="s">
        <v>1273</v>
      </c>
      <c r="AD179" s="28" t="s">
        <v>1273</v>
      </c>
      <c r="AE179" s="28" t="s">
        <v>1273</v>
      </c>
      <c r="AF179" s="28" t="s">
        <v>1273</v>
      </c>
      <c r="AG179" s="28" t="s">
        <v>1273</v>
      </c>
      <c r="AH179" s="28" t="s">
        <v>1273</v>
      </c>
      <c r="AI179" s="28" t="s">
        <v>1273</v>
      </c>
      <c r="AJ179" s="28" t="s">
        <v>1273</v>
      </c>
    </row>
    <row r="180" spans="1:36">
      <c r="A180" s="29" t="s">
        <v>412</v>
      </c>
      <c r="B180" s="28" t="s">
        <v>1210</v>
      </c>
      <c r="C180" s="28" t="s">
        <v>1210</v>
      </c>
      <c r="D180" s="28" t="s">
        <v>1210</v>
      </c>
      <c r="E180" s="28" t="s">
        <v>1210</v>
      </c>
      <c r="F180" s="28" t="s">
        <v>1210</v>
      </c>
      <c r="G180" s="28" t="s">
        <v>1210</v>
      </c>
      <c r="H180" s="28" t="s">
        <v>1210</v>
      </c>
      <c r="I180" s="28" t="s">
        <v>1210</v>
      </c>
      <c r="J180" s="28" t="s">
        <v>1210</v>
      </c>
      <c r="K180" s="28" t="s">
        <v>1210</v>
      </c>
      <c r="L180" s="28" t="s">
        <v>1210</v>
      </c>
      <c r="M180" s="28" t="s">
        <v>1210</v>
      </c>
      <c r="N180" s="28" t="s">
        <v>1210</v>
      </c>
      <c r="O180" s="28" t="s">
        <v>1210</v>
      </c>
      <c r="P180" s="28" t="s">
        <v>1210</v>
      </c>
      <c r="Q180" s="28" t="s">
        <v>1210</v>
      </c>
      <c r="R180" s="28" t="s">
        <v>1210</v>
      </c>
      <c r="S180" s="28" t="s">
        <v>1210</v>
      </c>
      <c r="T180" s="28" t="s">
        <v>1210</v>
      </c>
      <c r="U180" s="28" t="s">
        <v>1210</v>
      </c>
      <c r="V180" s="28" t="s">
        <v>1210</v>
      </c>
      <c r="W180" s="28" t="s">
        <v>1210</v>
      </c>
      <c r="X180" s="28" t="s">
        <v>1210</v>
      </c>
      <c r="Y180" s="28" t="s">
        <v>1210</v>
      </c>
      <c r="Z180" s="28" t="s">
        <v>1272</v>
      </c>
      <c r="AA180" s="28" t="s">
        <v>1271</v>
      </c>
      <c r="AB180" s="28" t="s">
        <v>1272</v>
      </c>
      <c r="AC180" s="28" t="s">
        <v>1271</v>
      </c>
      <c r="AD180" s="28" t="s">
        <v>1271</v>
      </c>
      <c r="AE180" s="28" t="s">
        <v>1271</v>
      </c>
      <c r="AF180" s="28" t="s">
        <v>1271</v>
      </c>
      <c r="AG180" s="28" t="s">
        <v>1271</v>
      </c>
      <c r="AH180" s="28" t="s">
        <v>1271</v>
      </c>
      <c r="AI180" s="28" t="s">
        <v>1271</v>
      </c>
      <c r="AJ180" s="28" t="s">
        <v>1271</v>
      </c>
    </row>
    <row r="181" spans="1:36">
      <c r="A181" s="29" t="s">
        <v>1149</v>
      </c>
      <c r="B181" s="28" t="s">
        <v>1274</v>
      </c>
      <c r="C181" s="28" t="s">
        <v>1274</v>
      </c>
      <c r="D181" s="28" t="s">
        <v>1274</v>
      </c>
      <c r="E181" s="28" t="s">
        <v>1274</v>
      </c>
      <c r="F181" s="28" t="s">
        <v>1274</v>
      </c>
      <c r="G181" s="28" t="s">
        <v>1274</v>
      </c>
      <c r="H181" s="28" t="s">
        <v>1274</v>
      </c>
      <c r="I181" s="28" t="s">
        <v>1274</v>
      </c>
      <c r="J181" s="28" t="s">
        <v>1274</v>
      </c>
      <c r="K181" s="28" t="s">
        <v>1274</v>
      </c>
      <c r="L181" s="28" t="s">
        <v>1274</v>
      </c>
      <c r="M181" s="28" t="s">
        <v>1274</v>
      </c>
      <c r="N181" s="28" t="s">
        <v>1274</v>
      </c>
      <c r="O181" s="28" t="s">
        <v>1274</v>
      </c>
      <c r="P181" s="28" t="s">
        <v>1274</v>
      </c>
      <c r="Q181" s="28" t="s">
        <v>1274</v>
      </c>
      <c r="R181" s="28" t="s">
        <v>1274</v>
      </c>
      <c r="S181" s="28" t="s">
        <v>1274</v>
      </c>
      <c r="T181" s="28" t="s">
        <v>1274</v>
      </c>
      <c r="U181" s="28" t="s">
        <v>1274</v>
      </c>
      <c r="V181" s="28" t="s">
        <v>1274</v>
      </c>
      <c r="W181" s="28" t="s">
        <v>1274</v>
      </c>
      <c r="X181" s="28" t="s">
        <v>1274</v>
      </c>
      <c r="Y181" s="28" t="s">
        <v>1274</v>
      </c>
      <c r="Z181" s="28" t="s">
        <v>1274</v>
      </c>
      <c r="AA181" s="28" t="s">
        <v>1274</v>
      </c>
      <c r="AB181" s="28" t="s">
        <v>1274</v>
      </c>
      <c r="AC181" s="28" t="s">
        <v>1274</v>
      </c>
      <c r="AD181" s="28" t="s">
        <v>1274</v>
      </c>
      <c r="AE181" s="28" t="s">
        <v>1274</v>
      </c>
      <c r="AF181" s="28" t="s">
        <v>1274</v>
      </c>
      <c r="AG181" s="28" t="s">
        <v>1274</v>
      </c>
      <c r="AH181" s="28" t="s">
        <v>1274</v>
      </c>
      <c r="AI181" s="28" t="s">
        <v>1274</v>
      </c>
      <c r="AJ181" s="28" t="s">
        <v>1274</v>
      </c>
    </row>
    <row r="182" spans="1:36">
      <c r="A182" s="29" t="s">
        <v>1096</v>
      </c>
      <c r="B182" s="28" t="s">
        <v>1271</v>
      </c>
      <c r="C182" s="28" t="s">
        <v>1271</v>
      </c>
      <c r="D182" s="28" t="s">
        <v>1271</v>
      </c>
      <c r="E182" s="28" t="s">
        <v>1271</v>
      </c>
      <c r="F182" s="28" t="s">
        <v>1271</v>
      </c>
      <c r="G182" s="28" t="s">
        <v>1271</v>
      </c>
      <c r="H182" s="28" t="s">
        <v>1271</v>
      </c>
      <c r="I182" s="28" t="s">
        <v>1271</v>
      </c>
      <c r="J182" s="28" t="s">
        <v>1271</v>
      </c>
      <c r="K182" s="28" t="s">
        <v>1271</v>
      </c>
      <c r="L182" s="28" t="s">
        <v>1272</v>
      </c>
      <c r="M182" s="28" t="s">
        <v>1272</v>
      </c>
      <c r="N182" s="28" t="s">
        <v>1272</v>
      </c>
      <c r="O182" s="28" t="s">
        <v>1272</v>
      </c>
      <c r="P182" s="28" t="s">
        <v>1272</v>
      </c>
      <c r="Q182" s="28" t="s">
        <v>1272</v>
      </c>
      <c r="R182" s="28" t="s">
        <v>1272</v>
      </c>
      <c r="S182" s="28" t="s">
        <v>1272</v>
      </c>
      <c r="T182" s="28" t="s">
        <v>1272</v>
      </c>
      <c r="U182" s="28" t="s">
        <v>1272</v>
      </c>
      <c r="V182" s="28" t="s">
        <v>1272</v>
      </c>
      <c r="W182" s="28" t="s">
        <v>1272</v>
      </c>
      <c r="X182" s="28" t="s">
        <v>1272</v>
      </c>
      <c r="Y182" s="28" t="s">
        <v>1272</v>
      </c>
      <c r="Z182" s="28" t="s">
        <v>1272</v>
      </c>
      <c r="AA182" s="28" t="s">
        <v>1272</v>
      </c>
      <c r="AB182" s="28" t="s">
        <v>1272</v>
      </c>
      <c r="AC182" s="28" t="s">
        <v>1272</v>
      </c>
      <c r="AD182" s="28" t="s">
        <v>1272</v>
      </c>
      <c r="AE182" s="28" t="s">
        <v>1272</v>
      </c>
      <c r="AF182" s="28" t="s">
        <v>1272</v>
      </c>
      <c r="AG182" s="28" t="s">
        <v>1273</v>
      </c>
      <c r="AH182" s="28" t="s">
        <v>1272</v>
      </c>
      <c r="AI182" s="28" t="s">
        <v>1272</v>
      </c>
      <c r="AJ182" s="28" t="s">
        <v>1272</v>
      </c>
    </row>
    <row r="183" spans="1:36">
      <c r="A183" s="29" t="s">
        <v>1150</v>
      </c>
      <c r="B183" s="28" t="s">
        <v>1273</v>
      </c>
      <c r="C183" s="28" t="s">
        <v>1273</v>
      </c>
      <c r="D183" s="28" t="s">
        <v>1273</v>
      </c>
      <c r="E183" s="28" t="s">
        <v>1273</v>
      </c>
      <c r="F183" s="28" t="s">
        <v>1273</v>
      </c>
      <c r="G183" s="28" t="s">
        <v>1273</v>
      </c>
      <c r="H183" s="28" t="s">
        <v>1273</v>
      </c>
      <c r="I183" s="28" t="s">
        <v>1273</v>
      </c>
      <c r="J183" s="28" t="s">
        <v>1273</v>
      </c>
      <c r="K183" s="28" t="s">
        <v>1273</v>
      </c>
      <c r="L183" s="28" t="s">
        <v>1273</v>
      </c>
      <c r="M183" s="28" t="s">
        <v>1273</v>
      </c>
      <c r="N183" s="28" t="s">
        <v>1273</v>
      </c>
      <c r="O183" s="28" t="s">
        <v>1273</v>
      </c>
      <c r="P183" s="28" t="s">
        <v>1273</v>
      </c>
      <c r="Q183" s="28" t="s">
        <v>1273</v>
      </c>
      <c r="R183" s="28" t="s">
        <v>1273</v>
      </c>
      <c r="S183" s="28" t="s">
        <v>1273</v>
      </c>
      <c r="T183" s="28" t="s">
        <v>1273</v>
      </c>
      <c r="U183" s="28" t="s">
        <v>1273</v>
      </c>
      <c r="V183" s="28" t="s">
        <v>1273</v>
      </c>
      <c r="W183" s="28" t="s">
        <v>1273</v>
      </c>
      <c r="X183" s="28" t="s">
        <v>1273</v>
      </c>
      <c r="Y183" s="28" t="s">
        <v>1273</v>
      </c>
      <c r="Z183" s="28" t="s">
        <v>1274</v>
      </c>
      <c r="AA183" s="28" t="s">
        <v>1274</v>
      </c>
      <c r="AB183" s="28" t="s">
        <v>1274</v>
      </c>
      <c r="AC183" s="28" t="s">
        <v>1274</v>
      </c>
      <c r="AD183" s="28" t="s">
        <v>1274</v>
      </c>
      <c r="AE183" s="28" t="s">
        <v>1274</v>
      </c>
      <c r="AF183" s="28" t="s">
        <v>1274</v>
      </c>
      <c r="AG183" s="28" t="s">
        <v>1274</v>
      </c>
      <c r="AH183" s="28" t="s">
        <v>1274</v>
      </c>
      <c r="AI183" s="28" t="s">
        <v>1274</v>
      </c>
      <c r="AJ183" s="28" t="s">
        <v>1274</v>
      </c>
    </row>
    <row r="184" spans="1:36">
      <c r="A184" s="29" t="s">
        <v>1151</v>
      </c>
      <c r="B184" s="28" t="s">
        <v>1272</v>
      </c>
      <c r="C184" s="28" t="s">
        <v>1272</v>
      </c>
      <c r="D184" s="28" t="s">
        <v>1272</v>
      </c>
      <c r="E184" s="28" t="s">
        <v>1272</v>
      </c>
      <c r="F184" s="28" t="s">
        <v>1272</v>
      </c>
      <c r="G184" s="28" t="s">
        <v>1273</v>
      </c>
      <c r="H184" s="28" t="s">
        <v>1273</v>
      </c>
      <c r="I184" s="28" t="s">
        <v>1273</v>
      </c>
      <c r="J184" s="28" t="s">
        <v>1273</v>
      </c>
      <c r="K184" s="28" t="s">
        <v>1273</v>
      </c>
      <c r="L184" s="28" t="s">
        <v>1273</v>
      </c>
      <c r="M184" s="28" t="s">
        <v>1273</v>
      </c>
      <c r="N184" s="28" t="s">
        <v>1273</v>
      </c>
      <c r="O184" s="28" t="s">
        <v>1273</v>
      </c>
      <c r="P184" s="28" t="s">
        <v>1273</v>
      </c>
      <c r="Q184" s="28" t="s">
        <v>1273</v>
      </c>
      <c r="R184" s="28" t="s">
        <v>1273</v>
      </c>
      <c r="S184" s="28" t="s">
        <v>1273</v>
      </c>
      <c r="T184" s="28" t="s">
        <v>1273</v>
      </c>
      <c r="U184" s="28" t="s">
        <v>1273</v>
      </c>
      <c r="V184" s="28" t="s">
        <v>1273</v>
      </c>
      <c r="W184" s="28" t="s">
        <v>1273</v>
      </c>
      <c r="X184" s="28" t="s">
        <v>1273</v>
      </c>
      <c r="Y184" s="28" t="s">
        <v>1273</v>
      </c>
      <c r="Z184" s="28" t="s">
        <v>1273</v>
      </c>
      <c r="AA184" s="28" t="s">
        <v>1273</v>
      </c>
      <c r="AB184" s="28" t="s">
        <v>1273</v>
      </c>
      <c r="AC184" s="28" t="s">
        <v>1273</v>
      </c>
      <c r="AD184" s="28" t="s">
        <v>1273</v>
      </c>
      <c r="AE184" s="28" t="s">
        <v>1273</v>
      </c>
      <c r="AF184" s="28" t="s">
        <v>1273</v>
      </c>
      <c r="AG184" s="28" t="s">
        <v>1273</v>
      </c>
      <c r="AH184" s="28" t="s">
        <v>1273</v>
      </c>
      <c r="AI184" s="28" t="s">
        <v>1273</v>
      </c>
      <c r="AJ184" s="28" t="s">
        <v>1273</v>
      </c>
    </row>
    <row r="185" spans="1:36">
      <c r="A185" s="29" t="s">
        <v>1213</v>
      </c>
      <c r="B185" s="28" t="s">
        <v>1210</v>
      </c>
      <c r="C185" s="28" t="s">
        <v>1210</v>
      </c>
      <c r="D185" s="28" t="s">
        <v>1210</v>
      </c>
      <c r="E185" s="28" t="s">
        <v>1210</v>
      </c>
      <c r="F185" s="28" t="s">
        <v>1210</v>
      </c>
      <c r="G185" s="28" t="s">
        <v>1210</v>
      </c>
      <c r="H185" s="28" t="s">
        <v>1210</v>
      </c>
      <c r="I185" s="28" t="s">
        <v>1210</v>
      </c>
      <c r="J185" s="28" t="s">
        <v>1210</v>
      </c>
      <c r="K185" s="28" t="s">
        <v>1210</v>
      </c>
      <c r="L185" s="28" t="s">
        <v>1210</v>
      </c>
      <c r="M185" s="28" t="s">
        <v>1210</v>
      </c>
      <c r="N185" s="28" t="s">
        <v>1210</v>
      </c>
      <c r="O185" s="28" t="s">
        <v>1210</v>
      </c>
      <c r="P185" s="28" t="s">
        <v>1210</v>
      </c>
      <c r="Q185" s="28" t="s">
        <v>1210</v>
      </c>
      <c r="R185" s="28" t="s">
        <v>1210</v>
      </c>
      <c r="S185" s="28" t="s">
        <v>1210</v>
      </c>
      <c r="T185" s="28" t="s">
        <v>1210</v>
      </c>
      <c r="U185" s="28" t="s">
        <v>1210</v>
      </c>
      <c r="V185" s="28" t="s">
        <v>1210</v>
      </c>
      <c r="W185" s="28" t="s">
        <v>1210</v>
      </c>
      <c r="X185" s="28" t="s">
        <v>1210</v>
      </c>
      <c r="Y185" s="28" t="s">
        <v>1274</v>
      </c>
      <c r="Z185" s="28" t="s">
        <v>1274</v>
      </c>
      <c r="AA185" s="28" t="s">
        <v>1274</v>
      </c>
      <c r="AB185" s="28" t="s">
        <v>1274</v>
      </c>
      <c r="AC185" s="28" t="s">
        <v>1274</v>
      </c>
      <c r="AD185" s="28" t="s">
        <v>1274</v>
      </c>
      <c r="AE185" s="28" t="s">
        <v>1274</v>
      </c>
      <c r="AF185" s="28" t="s">
        <v>1274</v>
      </c>
      <c r="AG185" s="28" t="s">
        <v>1274</v>
      </c>
      <c r="AH185" s="28" t="s">
        <v>1274</v>
      </c>
      <c r="AI185" s="28" t="s">
        <v>1274</v>
      </c>
      <c r="AJ185" s="28" t="s">
        <v>1274</v>
      </c>
    </row>
    <row r="186" spans="1:36">
      <c r="A186" s="29" t="s">
        <v>1152</v>
      </c>
      <c r="B186" s="28" t="s">
        <v>1272</v>
      </c>
      <c r="C186" s="28" t="s">
        <v>1272</v>
      </c>
      <c r="D186" s="28" t="s">
        <v>1272</v>
      </c>
      <c r="E186" s="28" t="s">
        <v>1272</v>
      </c>
      <c r="F186" s="28" t="s">
        <v>1272</v>
      </c>
      <c r="G186" s="28" t="s">
        <v>1272</v>
      </c>
      <c r="H186" s="28" t="s">
        <v>1272</v>
      </c>
      <c r="I186" s="28" t="s">
        <v>1272</v>
      </c>
      <c r="J186" s="28" t="s">
        <v>1272</v>
      </c>
      <c r="K186" s="28" t="s">
        <v>1272</v>
      </c>
      <c r="L186" s="28" t="s">
        <v>1272</v>
      </c>
      <c r="M186" s="28" t="s">
        <v>1272</v>
      </c>
      <c r="N186" s="28" t="s">
        <v>1272</v>
      </c>
      <c r="O186" s="28" t="s">
        <v>1272</v>
      </c>
      <c r="P186" s="28" t="s">
        <v>1272</v>
      </c>
      <c r="Q186" s="28" t="s">
        <v>1272</v>
      </c>
      <c r="R186" s="28" t="s">
        <v>1273</v>
      </c>
      <c r="S186" s="28" t="s">
        <v>1273</v>
      </c>
      <c r="T186" s="28" t="s">
        <v>1273</v>
      </c>
      <c r="U186" s="28" t="s">
        <v>1273</v>
      </c>
      <c r="V186" s="28" t="s">
        <v>1273</v>
      </c>
      <c r="W186" s="28" t="s">
        <v>1273</v>
      </c>
      <c r="X186" s="28" t="s">
        <v>1273</v>
      </c>
      <c r="Y186" s="28" t="s">
        <v>1273</v>
      </c>
      <c r="Z186" s="28" t="s">
        <v>1273</v>
      </c>
      <c r="AA186" s="28" t="s">
        <v>1273</v>
      </c>
      <c r="AB186" s="28" t="s">
        <v>1273</v>
      </c>
      <c r="AC186" s="28" t="s">
        <v>1273</v>
      </c>
      <c r="AD186" s="28" t="s">
        <v>1273</v>
      </c>
      <c r="AE186" s="28" t="s">
        <v>1273</v>
      </c>
      <c r="AF186" s="28" t="s">
        <v>1273</v>
      </c>
      <c r="AG186" s="28" t="s">
        <v>1273</v>
      </c>
      <c r="AH186" s="28" t="s">
        <v>1273</v>
      </c>
      <c r="AI186" s="28" t="s">
        <v>1273</v>
      </c>
      <c r="AJ186" s="28" t="s">
        <v>1273</v>
      </c>
    </row>
    <row r="187" spans="1:36">
      <c r="A187" s="29" t="s">
        <v>1097</v>
      </c>
      <c r="B187" s="28" t="s">
        <v>1271</v>
      </c>
      <c r="C187" s="28" t="s">
        <v>1271</v>
      </c>
      <c r="D187" s="28" t="s">
        <v>1271</v>
      </c>
      <c r="E187" s="28" t="s">
        <v>1271</v>
      </c>
      <c r="F187" s="28" t="s">
        <v>1271</v>
      </c>
      <c r="G187" s="28" t="s">
        <v>1271</v>
      </c>
      <c r="H187" s="28" t="s">
        <v>1271</v>
      </c>
      <c r="I187" s="28" t="s">
        <v>1271</v>
      </c>
      <c r="J187" s="28" t="s">
        <v>1271</v>
      </c>
      <c r="K187" s="28" t="s">
        <v>1271</v>
      </c>
      <c r="L187" s="28" t="s">
        <v>1271</v>
      </c>
      <c r="M187" s="28" t="s">
        <v>1271</v>
      </c>
      <c r="N187" s="28" t="s">
        <v>1271</v>
      </c>
      <c r="O187" s="28" t="s">
        <v>1271</v>
      </c>
      <c r="P187" s="28" t="s">
        <v>1271</v>
      </c>
      <c r="Q187" s="28" t="s">
        <v>1271</v>
      </c>
      <c r="R187" s="28" t="s">
        <v>1271</v>
      </c>
      <c r="S187" s="28" t="s">
        <v>1271</v>
      </c>
      <c r="T187" s="28" t="s">
        <v>1271</v>
      </c>
      <c r="U187" s="28" t="s">
        <v>1271</v>
      </c>
      <c r="V187" s="28" t="s">
        <v>1272</v>
      </c>
      <c r="W187" s="28" t="s">
        <v>1272</v>
      </c>
      <c r="X187" s="28" t="s">
        <v>1272</v>
      </c>
      <c r="Y187" s="28" t="s">
        <v>1272</v>
      </c>
      <c r="Z187" s="28" t="s">
        <v>1272</v>
      </c>
      <c r="AA187" s="28" t="s">
        <v>1272</v>
      </c>
      <c r="AB187" s="28" t="s">
        <v>1272</v>
      </c>
      <c r="AC187" s="28" t="s">
        <v>1272</v>
      </c>
      <c r="AD187" s="28" t="s">
        <v>1272</v>
      </c>
      <c r="AE187" s="28" t="s">
        <v>1272</v>
      </c>
      <c r="AF187" s="28" t="s">
        <v>1272</v>
      </c>
      <c r="AG187" s="28" t="s">
        <v>1272</v>
      </c>
      <c r="AH187" s="28" t="s">
        <v>1271</v>
      </c>
      <c r="AI187" s="28" t="s">
        <v>1271</v>
      </c>
      <c r="AJ187" s="28" t="s">
        <v>1271</v>
      </c>
    </row>
    <row r="188" spans="1:36">
      <c r="A188" s="29" t="s">
        <v>1153</v>
      </c>
      <c r="B188" s="28" t="s">
        <v>1273</v>
      </c>
      <c r="C188" s="28" t="s">
        <v>1273</v>
      </c>
      <c r="D188" s="28" t="s">
        <v>1273</v>
      </c>
      <c r="E188" s="28" t="s">
        <v>1273</v>
      </c>
      <c r="F188" s="28" t="s">
        <v>1273</v>
      </c>
      <c r="G188" s="28" t="s">
        <v>1273</v>
      </c>
      <c r="H188" s="28" t="s">
        <v>1272</v>
      </c>
      <c r="I188" s="28" t="s">
        <v>1272</v>
      </c>
      <c r="J188" s="28" t="s">
        <v>1272</v>
      </c>
      <c r="K188" s="28" t="s">
        <v>1272</v>
      </c>
      <c r="L188" s="28" t="s">
        <v>1272</v>
      </c>
      <c r="M188" s="28" t="s">
        <v>1272</v>
      </c>
      <c r="N188" s="28" t="s">
        <v>1272</v>
      </c>
      <c r="O188" s="28" t="s">
        <v>1272</v>
      </c>
      <c r="P188" s="28" t="s">
        <v>1272</v>
      </c>
      <c r="Q188" s="28" t="s">
        <v>1272</v>
      </c>
      <c r="R188" s="28" t="s">
        <v>1272</v>
      </c>
      <c r="S188" s="28" t="s">
        <v>1272</v>
      </c>
      <c r="T188" s="28" t="s">
        <v>1272</v>
      </c>
      <c r="U188" s="28" t="s">
        <v>1272</v>
      </c>
      <c r="V188" s="28" t="s">
        <v>1273</v>
      </c>
      <c r="W188" s="28" t="s">
        <v>1273</v>
      </c>
      <c r="X188" s="28" t="s">
        <v>1273</v>
      </c>
      <c r="Y188" s="28" t="s">
        <v>1273</v>
      </c>
      <c r="Z188" s="28" t="s">
        <v>1273</v>
      </c>
      <c r="AA188" s="28" t="s">
        <v>1273</v>
      </c>
      <c r="AB188" s="28" t="s">
        <v>1273</v>
      </c>
      <c r="AC188" s="28" t="s">
        <v>1273</v>
      </c>
      <c r="AD188" s="28" t="s">
        <v>1273</v>
      </c>
      <c r="AE188" s="28" t="s">
        <v>1273</v>
      </c>
      <c r="AF188" s="28" t="s">
        <v>1273</v>
      </c>
      <c r="AG188" s="28" t="s">
        <v>1273</v>
      </c>
      <c r="AH188" s="28" t="s">
        <v>1273</v>
      </c>
      <c r="AI188" s="28" t="s">
        <v>1273</v>
      </c>
      <c r="AJ188" s="28" t="s">
        <v>1273</v>
      </c>
    </row>
    <row r="189" spans="1:36">
      <c r="A189" s="29" t="s">
        <v>1154</v>
      </c>
      <c r="B189" s="28" t="s">
        <v>1274</v>
      </c>
      <c r="C189" s="28" t="s">
        <v>1274</v>
      </c>
      <c r="D189" s="28" t="s">
        <v>1274</v>
      </c>
      <c r="E189" s="28" t="s">
        <v>1274</v>
      </c>
      <c r="F189" s="28" t="s">
        <v>1274</v>
      </c>
      <c r="G189" s="28" t="s">
        <v>1274</v>
      </c>
      <c r="H189" s="28" t="s">
        <v>1274</v>
      </c>
      <c r="I189" s="28" t="s">
        <v>1274</v>
      </c>
      <c r="J189" s="28" t="s">
        <v>1274</v>
      </c>
      <c r="K189" s="28" t="s">
        <v>1274</v>
      </c>
      <c r="L189" s="28" t="s">
        <v>1274</v>
      </c>
      <c r="M189" s="28" t="s">
        <v>1274</v>
      </c>
      <c r="N189" s="28" t="s">
        <v>1274</v>
      </c>
      <c r="O189" s="28" t="s">
        <v>1274</v>
      </c>
      <c r="P189" s="28" t="s">
        <v>1274</v>
      </c>
      <c r="Q189" s="28" t="s">
        <v>1274</v>
      </c>
      <c r="R189" s="28" t="s">
        <v>1274</v>
      </c>
      <c r="S189" s="28" t="s">
        <v>1274</v>
      </c>
      <c r="T189" s="28" t="s">
        <v>1274</v>
      </c>
      <c r="U189" s="28" t="s">
        <v>1274</v>
      </c>
      <c r="V189" s="28" t="s">
        <v>1274</v>
      </c>
      <c r="W189" s="28" t="s">
        <v>1274</v>
      </c>
      <c r="X189" s="28" t="s">
        <v>1274</v>
      </c>
      <c r="Y189" s="28" t="s">
        <v>1274</v>
      </c>
      <c r="Z189" s="28" t="s">
        <v>1274</v>
      </c>
      <c r="AA189" s="28" t="s">
        <v>1274</v>
      </c>
      <c r="AB189" s="28" t="s">
        <v>1274</v>
      </c>
      <c r="AC189" s="28" t="s">
        <v>1274</v>
      </c>
      <c r="AD189" s="28" t="s">
        <v>1274</v>
      </c>
      <c r="AE189" s="28" t="s">
        <v>1274</v>
      </c>
      <c r="AF189" s="28" t="s">
        <v>1274</v>
      </c>
      <c r="AG189" s="28" t="s">
        <v>1274</v>
      </c>
      <c r="AH189" s="28" t="s">
        <v>1274</v>
      </c>
      <c r="AI189" s="28" t="s">
        <v>1274</v>
      </c>
      <c r="AJ189" s="28" t="s">
        <v>1274</v>
      </c>
    </row>
    <row r="190" spans="1:36">
      <c r="A190" s="29" t="s">
        <v>1155</v>
      </c>
      <c r="B190" s="28" t="s">
        <v>1274</v>
      </c>
      <c r="C190" s="28" t="s">
        <v>1274</v>
      </c>
      <c r="D190" s="28" t="s">
        <v>1274</v>
      </c>
      <c r="E190" s="28" t="s">
        <v>1274</v>
      </c>
      <c r="F190" s="28" t="s">
        <v>1274</v>
      </c>
      <c r="G190" s="28" t="s">
        <v>1274</v>
      </c>
      <c r="H190" s="28" t="s">
        <v>1274</v>
      </c>
      <c r="I190" s="28" t="s">
        <v>1274</v>
      </c>
      <c r="J190" s="28" t="s">
        <v>1274</v>
      </c>
      <c r="K190" s="28" t="s">
        <v>1274</v>
      </c>
      <c r="L190" s="28" t="s">
        <v>1274</v>
      </c>
      <c r="M190" s="28" t="s">
        <v>1274</v>
      </c>
      <c r="N190" s="28" t="s">
        <v>1274</v>
      </c>
      <c r="O190" s="28" t="s">
        <v>1274</v>
      </c>
      <c r="P190" s="28" t="s">
        <v>1274</v>
      </c>
      <c r="Q190" s="28" t="s">
        <v>1274</v>
      </c>
      <c r="R190" s="28" t="s">
        <v>1274</v>
      </c>
      <c r="S190" s="28" t="s">
        <v>1274</v>
      </c>
      <c r="T190" s="28" t="s">
        <v>1274</v>
      </c>
      <c r="U190" s="28" t="s">
        <v>1274</v>
      </c>
      <c r="V190" s="28" t="s">
        <v>1274</v>
      </c>
      <c r="W190" s="28" t="s">
        <v>1274</v>
      </c>
      <c r="X190" s="28" t="s">
        <v>1274</v>
      </c>
      <c r="Y190" s="28" t="s">
        <v>1274</v>
      </c>
      <c r="Z190" s="28" t="s">
        <v>1274</v>
      </c>
      <c r="AA190" s="28" t="s">
        <v>1274</v>
      </c>
      <c r="AB190" s="28" t="s">
        <v>1274</v>
      </c>
      <c r="AC190" s="28" t="s">
        <v>1274</v>
      </c>
      <c r="AD190" s="28" t="s">
        <v>1274</v>
      </c>
      <c r="AE190" s="28" t="s">
        <v>1274</v>
      </c>
      <c r="AF190" s="28" t="s">
        <v>1274</v>
      </c>
      <c r="AG190" s="28" t="s">
        <v>1274</v>
      </c>
      <c r="AH190" s="28" t="s">
        <v>1274</v>
      </c>
      <c r="AI190" s="28" t="s">
        <v>1274</v>
      </c>
      <c r="AJ190" s="28" t="s">
        <v>1274</v>
      </c>
    </row>
    <row r="191" spans="1:36">
      <c r="A191" s="29" t="s">
        <v>1203</v>
      </c>
      <c r="B191" s="28" t="s">
        <v>1272</v>
      </c>
      <c r="C191" s="28" t="s">
        <v>1272</v>
      </c>
      <c r="D191" s="28" t="s">
        <v>1272</v>
      </c>
      <c r="E191" s="28" t="s">
        <v>1272</v>
      </c>
      <c r="F191" s="28" t="s">
        <v>1272</v>
      </c>
      <c r="G191" s="28" t="s">
        <v>1272</v>
      </c>
      <c r="H191" s="28" t="s">
        <v>1272</v>
      </c>
      <c r="I191" s="28" t="s">
        <v>1272</v>
      </c>
      <c r="J191" s="28" t="s">
        <v>1272</v>
      </c>
      <c r="K191" s="28" t="s">
        <v>1272</v>
      </c>
      <c r="L191" s="28" t="s">
        <v>1272</v>
      </c>
      <c r="M191" s="28" t="s">
        <v>1272</v>
      </c>
      <c r="N191" s="28" t="s">
        <v>1272</v>
      </c>
      <c r="O191" s="28" t="s">
        <v>1272</v>
      </c>
      <c r="P191" s="28" t="s">
        <v>1272</v>
      </c>
      <c r="Q191" s="28" t="s">
        <v>1272</v>
      </c>
      <c r="R191" s="28" t="s">
        <v>1272</v>
      </c>
      <c r="S191" s="28" t="s">
        <v>1272</v>
      </c>
      <c r="T191" s="28" t="s">
        <v>1272</v>
      </c>
      <c r="U191" s="28" t="s">
        <v>1272</v>
      </c>
      <c r="V191" s="28" t="s">
        <v>1272</v>
      </c>
      <c r="W191" s="28" t="s">
        <v>1272</v>
      </c>
      <c r="X191" s="28" t="s">
        <v>1272</v>
      </c>
      <c r="Y191" s="28" t="s">
        <v>1272</v>
      </c>
      <c r="Z191" s="28" t="s">
        <v>1272</v>
      </c>
      <c r="AA191" s="28" t="s">
        <v>1272</v>
      </c>
      <c r="AB191" s="28" t="s">
        <v>1272</v>
      </c>
      <c r="AC191" s="28" t="s">
        <v>1272</v>
      </c>
      <c r="AD191" s="28" t="s">
        <v>1272</v>
      </c>
      <c r="AE191" s="28" t="s">
        <v>1272</v>
      </c>
      <c r="AF191" s="28" t="s">
        <v>1271</v>
      </c>
      <c r="AG191" s="28" t="s">
        <v>1271</v>
      </c>
      <c r="AH191" s="28" t="s">
        <v>1271</v>
      </c>
      <c r="AI191" s="28" t="s">
        <v>1271</v>
      </c>
      <c r="AJ191" s="28" t="s">
        <v>1271</v>
      </c>
    </row>
    <row r="192" spans="1:36">
      <c r="A192" s="29" t="s">
        <v>1280</v>
      </c>
      <c r="B192" s="28" t="s">
        <v>1274</v>
      </c>
      <c r="C192" s="28" t="s">
        <v>1274</v>
      </c>
      <c r="D192" s="28" t="s">
        <v>1274</v>
      </c>
      <c r="E192" s="28" t="s">
        <v>1274</v>
      </c>
      <c r="F192" s="28" t="s">
        <v>1274</v>
      </c>
      <c r="G192" s="28" t="s">
        <v>1274</v>
      </c>
      <c r="H192" s="28" t="s">
        <v>1274</v>
      </c>
      <c r="I192" s="28" t="s">
        <v>1274</v>
      </c>
      <c r="J192" s="28" t="s">
        <v>1274</v>
      </c>
      <c r="K192" s="28" t="s">
        <v>1274</v>
      </c>
      <c r="L192" s="28" t="s">
        <v>1274</v>
      </c>
      <c r="M192" s="28" t="s">
        <v>1274</v>
      </c>
      <c r="N192" s="28" t="s">
        <v>1274</v>
      </c>
      <c r="O192" s="28" t="s">
        <v>1274</v>
      </c>
      <c r="P192" s="28" t="s">
        <v>1274</v>
      </c>
      <c r="Q192" s="28" t="s">
        <v>1274</v>
      </c>
      <c r="R192" s="28" t="s">
        <v>1274</v>
      </c>
      <c r="S192" s="28" t="s">
        <v>1274</v>
      </c>
      <c r="T192" s="28" t="s">
        <v>1274</v>
      </c>
      <c r="U192" s="28" t="s">
        <v>1274</v>
      </c>
      <c r="V192" s="28" t="s">
        <v>1274</v>
      </c>
      <c r="W192" s="28" t="s">
        <v>1274</v>
      </c>
      <c r="X192" s="28" t="s">
        <v>1274</v>
      </c>
      <c r="Y192" s="28" t="s">
        <v>1274</v>
      </c>
      <c r="Z192" s="28" t="s">
        <v>1274</v>
      </c>
      <c r="AA192" s="28" t="s">
        <v>1274</v>
      </c>
      <c r="AB192" s="28" t="s">
        <v>1274</v>
      </c>
      <c r="AC192" s="28" t="s">
        <v>1274</v>
      </c>
      <c r="AD192" s="28" t="s">
        <v>1274</v>
      </c>
      <c r="AE192" s="28" t="s">
        <v>1274</v>
      </c>
      <c r="AF192" s="28" t="s">
        <v>1274</v>
      </c>
      <c r="AG192" s="28" t="s">
        <v>1274</v>
      </c>
      <c r="AH192" s="28" t="s">
        <v>1274</v>
      </c>
      <c r="AI192" s="28" t="s">
        <v>1274</v>
      </c>
      <c r="AJ192" s="28" t="s">
        <v>1274</v>
      </c>
    </row>
    <row r="193" spans="1:36">
      <c r="A193" s="29" t="s">
        <v>1100</v>
      </c>
      <c r="B193" s="28" t="s">
        <v>1210</v>
      </c>
      <c r="C193" s="28" t="s">
        <v>1210</v>
      </c>
      <c r="D193" s="28" t="s">
        <v>1210</v>
      </c>
      <c r="E193" s="28" t="s">
        <v>1210</v>
      </c>
      <c r="F193" s="28" t="s">
        <v>1272</v>
      </c>
      <c r="G193" s="28" t="s">
        <v>1271</v>
      </c>
      <c r="H193" s="28" t="s">
        <v>1271</v>
      </c>
      <c r="I193" s="28" t="s">
        <v>1271</v>
      </c>
      <c r="J193" s="28" t="s">
        <v>1271</v>
      </c>
      <c r="K193" s="28" t="s">
        <v>1271</v>
      </c>
      <c r="L193" s="28" t="s">
        <v>1271</v>
      </c>
      <c r="M193" s="28" t="s">
        <v>1271</v>
      </c>
      <c r="N193" s="28" t="s">
        <v>1271</v>
      </c>
      <c r="O193" s="28" t="s">
        <v>1271</v>
      </c>
      <c r="P193" s="28" t="s">
        <v>1271</v>
      </c>
      <c r="Q193" s="28" t="s">
        <v>1271</v>
      </c>
      <c r="R193" s="28" t="s">
        <v>1271</v>
      </c>
      <c r="S193" s="28" t="s">
        <v>1271</v>
      </c>
      <c r="T193" s="28" t="s">
        <v>1271</v>
      </c>
      <c r="U193" s="28" t="s">
        <v>1271</v>
      </c>
      <c r="V193" s="28" t="s">
        <v>1271</v>
      </c>
      <c r="W193" s="28" t="s">
        <v>1271</v>
      </c>
      <c r="X193" s="28" t="s">
        <v>1271</v>
      </c>
      <c r="Y193" s="28" t="s">
        <v>1271</v>
      </c>
      <c r="Z193" s="28" t="s">
        <v>1271</v>
      </c>
      <c r="AA193" s="28" t="s">
        <v>1271</v>
      </c>
      <c r="AB193" s="28" t="s">
        <v>1271</v>
      </c>
      <c r="AC193" s="28" t="s">
        <v>1272</v>
      </c>
      <c r="AD193" s="28" t="s">
        <v>1272</v>
      </c>
      <c r="AE193" s="28" t="s">
        <v>1272</v>
      </c>
      <c r="AF193" s="28" t="s">
        <v>1271</v>
      </c>
      <c r="AG193" s="28" t="s">
        <v>1271</v>
      </c>
      <c r="AH193" s="28" t="s">
        <v>1271</v>
      </c>
      <c r="AI193" s="28" t="s">
        <v>1272</v>
      </c>
      <c r="AJ193" s="28" t="s">
        <v>1272</v>
      </c>
    </row>
    <row r="194" spans="1:36">
      <c r="A194" s="29" t="s">
        <v>1101</v>
      </c>
      <c r="B194" s="28" t="s">
        <v>1271</v>
      </c>
      <c r="C194" s="28" t="s">
        <v>1271</v>
      </c>
      <c r="D194" s="28" t="s">
        <v>1271</v>
      </c>
      <c r="E194" s="28" t="s">
        <v>1271</v>
      </c>
      <c r="F194" s="28" t="s">
        <v>1271</v>
      </c>
      <c r="G194" s="28" t="s">
        <v>1271</v>
      </c>
      <c r="H194" s="28" t="s">
        <v>1271</v>
      </c>
      <c r="I194" s="28" t="s">
        <v>1271</v>
      </c>
      <c r="J194" s="28" t="s">
        <v>1271</v>
      </c>
      <c r="K194" s="28" t="s">
        <v>1271</v>
      </c>
      <c r="L194" s="28" t="s">
        <v>1271</v>
      </c>
      <c r="M194" s="28" t="s">
        <v>1271</v>
      </c>
      <c r="N194" s="28" t="s">
        <v>1271</v>
      </c>
      <c r="O194" s="28" t="s">
        <v>1271</v>
      </c>
      <c r="P194" s="28" t="s">
        <v>1271</v>
      </c>
      <c r="Q194" s="28" t="s">
        <v>1271</v>
      </c>
      <c r="R194" s="28" t="s">
        <v>1271</v>
      </c>
      <c r="S194" s="28" t="s">
        <v>1271</v>
      </c>
      <c r="T194" s="28" t="s">
        <v>1271</v>
      </c>
      <c r="U194" s="28" t="s">
        <v>1271</v>
      </c>
      <c r="V194" s="28" t="s">
        <v>1271</v>
      </c>
      <c r="W194" s="28" t="s">
        <v>1271</v>
      </c>
      <c r="X194" s="28" t="s">
        <v>1271</v>
      </c>
      <c r="Y194" s="28" t="s">
        <v>1271</v>
      </c>
      <c r="Z194" s="28" t="s">
        <v>1271</v>
      </c>
      <c r="AA194" s="28" t="s">
        <v>1271</v>
      </c>
      <c r="AB194" s="28" t="s">
        <v>1271</v>
      </c>
      <c r="AC194" s="28" t="s">
        <v>1271</v>
      </c>
      <c r="AD194" s="28" t="s">
        <v>1271</v>
      </c>
      <c r="AE194" s="28" t="s">
        <v>1271</v>
      </c>
      <c r="AF194" s="28" t="s">
        <v>1271</v>
      </c>
      <c r="AG194" s="28" t="s">
        <v>1271</v>
      </c>
      <c r="AH194" s="28" t="s">
        <v>1272</v>
      </c>
      <c r="AI194" s="28" t="s">
        <v>1272</v>
      </c>
      <c r="AJ194" s="28" t="s">
        <v>1272</v>
      </c>
    </row>
    <row r="195" spans="1:36">
      <c r="A195" s="29" t="s">
        <v>252</v>
      </c>
      <c r="B195" s="28" t="s">
        <v>1272</v>
      </c>
      <c r="C195" s="28" t="s">
        <v>1272</v>
      </c>
      <c r="D195" s="28" t="s">
        <v>1272</v>
      </c>
      <c r="E195" s="28" t="s">
        <v>1272</v>
      </c>
      <c r="F195" s="28" t="s">
        <v>1272</v>
      </c>
      <c r="G195" s="28" t="s">
        <v>1272</v>
      </c>
      <c r="H195" s="28" t="s">
        <v>1272</v>
      </c>
      <c r="I195" s="28" t="s">
        <v>1272</v>
      </c>
      <c r="J195" s="28" t="s">
        <v>1272</v>
      </c>
      <c r="K195" s="28" t="s">
        <v>1272</v>
      </c>
      <c r="L195" s="28" t="s">
        <v>1272</v>
      </c>
      <c r="M195" s="28" t="s">
        <v>1272</v>
      </c>
      <c r="N195" s="28" t="s">
        <v>1272</v>
      </c>
      <c r="O195" s="28" t="s">
        <v>1272</v>
      </c>
      <c r="P195" s="28" t="s">
        <v>1272</v>
      </c>
      <c r="Q195" s="28" t="s">
        <v>1272</v>
      </c>
      <c r="R195" s="28" t="s">
        <v>1272</v>
      </c>
      <c r="S195" s="28" t="s">
        <v>1272</v>
      </c>
      <c r="T195" s="28" t="s">
        <v>1272</v>
      </c>
      <c r="U195" s="28" t="s">
        <v>1272</v>
      </c>
      <c r="V195" s="28" t="s">
        <v>1272</v>
      </c>
      <c r="W195" s="28" t="s">
        <v>1272</v>
      </c>
      <c r="X195" s="28" t="s">
        <v>1272</v>
      </c>
      <c r="Y195" s="28" t="s">
        <v>1273</v>
      </c>
      <c r="Z195" s="28" t="s">
        <v>1273</v>
      </c>
      <c r="AA195" s="28" t="s">
        <v>1273</v>
      </c>
      <c r="AB195" s="28" t="s">
        <v>1273</v>
      </c>
      <c r="AC195" s="28" t="s">
        <v>1273</v>
      </c>
      <c r="AD195" s="28" t="s">
        <v>1273</v>
      </c>
      <c r="AE195" s="28" t="s">
        <v>1273</v>
      </c>
      <c r="AF195" s="28" t="s">
        <v>1273</v>
      </c>
      <c r="AG195" s="28" t="s">
        <v>1273</v>
      </c>
      <c r="AH195" s="28" t="s">
        <v>1273</v>
      </c>
      <c r="AI195" s="28" t="s">
        <v>1273</v>
      </c>
      <c r="AJ195" s="28" t="s">
        <v>1273</v>
      </c>
    </row>
    <row r="196" spans="1:36">
      <c r="A196" s="29" t="s">
        <v>1156</v>
      </c>
      <c r="B196" s="28" t="s">
        <v>1210</v>
      </c>
      <c r="C196" s="28" t="s">
        <v>1210</v>
      </c>
      <c r="D196" s="28" t="s">
        <v>1210</v>
      </c>
      <c r="E196" s="28" t="s">
        <v>1210</v>
      </c>
      <c r="F196" s="28" t="s">
        <v>1210</v>
      </c>
      <c r="G196" s="28" t="s">
        <v>1210</v>
      </c>
      <c r="H196" s="28" t="s">
        <v>1210</v>
      </c>
      <c r="I196" s="28" t="s">
        <v>1210</v>
      </c>
      <c r="J196" s="28" t="s">
        <v>1210</v>
      </c>
      <c r="K196" s="28" t="s">
        <v>1210</v>
      </c>
      <c r="L196" s="28" t="s">
        <v>1210</v>
      </c>
      <c r="M196" s="28" t="s">
        <v>1210</v>
      </c>
      <c r="N196" s="28" t="s">
        <v>1210</v>
      </c>
      <c r="O196" s="28" t="s">
        <v>1210</v>
      </c>
      <c r="P196" s="28" t="s">
        <v>1271</v>
      </c>
      <c r="Q196" s="28" t="s">
        <v>1271</v>
      </c>
      <c r="R196" s="28" t="s">
        <v>1271</v>
      </c>
      <c r="S196" s="28" t="s">
        <v>1271</v>
      </c>
      <c r="T196" s="28" t="s">
        <v>1271</v>
      </c>
      <c r="U196" s="28" t="s">
        <v>1271</v>
      </c>
      <c r="V196" s="28" t="s">
        <v>1272</v>
      </c>
      <c r="W196" s="28" t="s">
        <v>1272</v>
      </c>
      <c r="X196" s="28" t="s">
        <v>1272</v>
      </c>
      <c r="Y196" s="28" t="s">
        <v>1272</v>
      </c>
      <c r="Z196" s="28" t="s">
        <v>1272</v>
      </c>
      <c r="AA196" s="28" t="s">
        <v>1272</v>
      </c>
      <c r="AB196" s="28" t="s">
        <v>1272</v>
      </c>
      <c r="AC196" s="28" t="s">
        <v>1272</v>
      </c>
      <c r="AD196" s="28" t="s">
        <v>1272</v>
      </c>
      <c r="AE196" s="28" t="s">
        <v>1272</v>
      </c>
      <c r="AF196" s="28" t="s">
        <v>1272</v>
      </c>
      <c r="AG196" s="28" t="s">
        <v>1272</v>
      </c>
      <c r="AH196" s="28" t="s">
        <v>1272</v>
      </c>
      <c r="AI196" s="28" t="s">
        <v>1272</v>
      </c>
      <c r="AJ196" s="28" t="s">
        <v>1272</v>
      </c>
    </row>
    <row r="197" spans="1:36">
      <c r="A197" s="29" t="s">
        <v>1104</v>
      </c>
      <c r="B197" s="28" t="s">
        <v>1271</v>
      </c>
      <c r="C197" s="28" t="s">
        <v>1271</v>
      </c>
      <c r="D197" s="28" t="s">
        <v>1271</v>
      </c>
      <c r="E197" s="28" t="s">
        <v>1271</v>
      </c>
      <c r="F197" s="28" t="s">
        <v>1271</v>
      </c>
      <c r="G197" s="28" t="s">
        <v>1271</v>
      </c>
      <c r="H197" s="28" t="s">
        <v>1271</v>
      </c>
      <c r="I197" s="28" t="s">
        <v>1271</v>
      </c>
      <c r="J197" s="28" t="s">
        <v>1271</v>
      </c>
      <c r="K197" s="28" t="s">
        <v>1271</v>
      </c>
      <c r="L197" s="28" t="s">
        <v>1271</v>
      </c>
      <c r="M197" s="28" t="s">
        <v>1271</v>
      </c>
      <c r="N197" s="28" t="s">
        <v>1271</v>
      </c>
      <c r="O197" s="28" t="s">
        <v>1271</v>
      </c>
      <c r="P197" s="28" t="s">
        <v>1271</v>
      </c>
      <c r="Q197" s="28" t="s">
        <v>1271</v>
      </c>
      <c r="R197" s="28" t="s">
        <v>1271</v>
      </c>
      <c r="S197" s="28" t="s">
        <v>1271</v>
      </c>
      <c r="T197" s="28" t="s">
        <v>1271</v>
      </c>
      <c r="U197" s="28" t="s">
        <v>1271</v>
      </c>
      <c r="V197" s="28" t="s">
        <v>1271</v>
      </c>
      <c r="W197" s="28" t="s">
        <v>1271</v>
      </c>
      <c r="X197" s="28" t="s">
        <v>1271</v>
      </c>
      <c r="Y197" s="28" t="s">
        <v>1271</v>
      </c>
      <c r="Z197" s="28" t="s">
        <v>1271</v>
      </c>
      <c r="AA197" s="28" t="s">
        <v>1271</v>
      </c>
      <c r="AB197" s="28" t="s">
        <v>1271</v>
      </c>
      <c r="AC197" s="28" t="s">
        <v>1271</v>
      </c>
      <c r="AD197" s="28" t="s">
        <v>1271</v>
      </c>
      <c r="AE197" s="28" t="s">
        <v>1271</v>
      </c>
      <c r="AF197" s="28" t="s">
        <v>1271</v>
      </c>
      <c r="AG197" s="28" t="s">
        <v>1271</v>
      </c>
      <c r="AH197" s="28" t="s">
        <v>1271</v>
      </c>
      <c r="AI197" s="28" t="s">
        <v>1271</v>
      </c>
      <c r="AJ197" s="28" t="s">
        <v>1271</v>
      </c>
    </row>
    <row r="198" spans="1:36">
      <c r="A198" s="29" t="s">
        <v>1157</v>
      </c>
      <c r="B198" s="28" t="s">
        <v>1272</v>
      </c>
      <c r="C198" s="28" t="s">
        <v>1272</v>
      </c>
      <c r="D198" s="28" t="s">
        <v>1272</v>
      </c>
      <c r="E198" s="28" t="s">
        <v>1272</v>
      </c>
      <c r="F198" s="28" t="s">
        <v>1272</v>
      </c>
      <c r="G198" s="28" t="s">
        <v>1272</v>
      </c>
      <c r="H198" s="28" t="s">
        <v>1272</v>
      </c>
      <c r="I198" s="28" t="s">
        <v>1272</v>
      </c>
      <c r="J198" s="28" t="s">
        <v>1272</v>
      </c>
      <c r="K198" s="28" t="s">
        <v>1272</v>
      </c>
      <c r="L198" s="28" t="s">
        <v>1272</v>
      </c>
      <c r="M198" s="28" t="s">
        <v>1272</v>
      </c>
      <c r="N198" s="28" t="s">
        <v>1272</v>
      </c>
      <c r="O198" s="28" t="s">
        <v>1272</v>
      </c>
      <c r="P198" s="28" t="s">
        <v>1272</v>
      </c>
      <c r="Q198" s="28" t="s">
        <v>1272</v>
      </c>
      <c r="R198" s="28" t="s">
        <v>1272</v>
      </c>
      <c r="S198" s="28" t="s">
        <v>1272</v>
      </c>
      <c r="T198" s="28" t="s">
        <v>1272</v>
      </c>
      <c r="U198" s="28" t="s">
        <v>1272</v>
      </c>
      <c r="V198" s="28" t="s">
        <v>1272</v>
      </c>
      <c r="W198" s="28" t="s">
        <v>1272</v>
      </c>
      <c r="X198" s="28" t="s">
        <v>1272</v>
      </c>
      <c r="Y198" s="28" t="s">
        <v>1272</v>
      </c>
      <c r="Z198" s="28" t="s">
        <v>1272</v>
      </c>
      <c r="AA198" s="28" t="s">
        <v>1273</v>
      </c>
      <c r="AB198" s="28" t="s">
        <v>1273</v>
      </c>
      <c r="AC198" s="28" t="s">
        <v>1273</v>
      </c>
      <c r="AD198" s="28" t="s">
        <v>1272</v>
      </c>
      <c r="AE198" s="28" t="s">
        <v>1273</v>
      </c>
      <c r="AF198" s="28" t="s">
        <v>1273</v>
      </c>
      <c r="AG198" s="28" t="s">
        <v>1273</v>
      </c>
      <c r="AH198" s="28" t="s">
        <v>1273</v>
      </c>
      <c r="AI198" s="28" t="s">
        <v>1273</v>
      </c>
      <c r="AJ198" s="28" t="s">
        <v>1273</v>
      </c>
    </row>
    <row r="199" spans="1:36">
      <c r="A199" s="29" t="s">
        <v>1158</v>
      </c>
      <c r="B199" s="28" t="s">
        <v>1273</v>
      </c>
      <c r="C199" s="28" t="s">
        <v>1273</v>
      </c>
      <c r="D199" s="28" t="s">
        <v>1273</v>
      </c>
      <c r="E199" s="28" t="s">
        <v>1273</v>
      </c>
      <c r="F199" s="28" t="s">
        <v>1273</v>
      </c>
      <c r="G199" s="28" t="s">
        <v>1273</v>
      </c>
      <c r="H199" s="28" t="s">
        <v>1273</v>
      </c>
      <c r="I199" s="28" t="s">
        <v>1273</v>
      </c>
      <c r="J199" s="28" t="s">
        <v>1273</v>
      </c>
      <c r="K199" s="28" t="s">
        <v>1273</v>
      </c>
      <c r="L199" s="28" t="s">
        <v>1273</v>
      </c>
      <c r="M199" s="28" t="s">
        <v>1273</v>
      </c>
      <c r="N199" s="28" t="s">
        <v>1273</v>
      </c>
      <c r="O199" s="28" t="s">
        <v>1273</v>
      </c>
      <c r="P199" s="28" t="s">
        <v>1273</v>
      </c>
      <c r="Q199" s="28" t="s">
        <v>1273</v>
      </c>
      <c r="R199" s="28" t="s">
        <v>1273</v>
      </c>
      <c r="S199" s="28" t="s">
        <v>1273</v>
      </c>
      <c r="T199" s="28" t="s">
        <v>1273</v>
      </c>
      <c r="U199" s="28" t="s">
        <v>1274</v>
      </c>
      <c r="V199" s="28" t="s">
        <v>1274</v>
      </c>
      <c r="W199" s="28" t="s">
        <v>1274</v>
      </c>
      <c r="X199" s="28" t="s">
        <v>1274</v>
      </c>
      <c r="Y199" s="28" t="s">
        <v>1274</v>
      </c>
      <c r="Z199" s="28" t="s">
        <v>1274</v>
      </c>
      <c r="AA199" s="28" t="s">
        <v>1274</v>
      </c>
      <c r="AB199" s="28" t="s">
        <v>1274</v>
      </c>
      <c r="AC199" s="28" t="s">
        <v>1274</v>
      </c>
      <c r="AD199" s="28" t="s">
        <v>1274</v>
      </c>
      <c r="AE199" s="28" t="s">
        <v>1274</v>
      </c>
      <c r="AF199" s="28" t="s">
        <v>1274</v>
      </c>
      <c r="AG199" s="28" t="s">
        <v>1274</v>
      </c>
      <c r="AH199" s="28" t="s">
        <v>1274</v>
      </c>
      <c r="AI199" s="28" t="s">
        <v>1274</v>
      </c>
      <c r="AJ199" s="28" t="s">
        <v>1274</v>
      </c>
    </row>
    <row r="200" spans="1:36">
      <c r="A200" s="29" t="s">
        <v>583</v>
      </c>
      <c r="B200" s="28" t="s">
        <v>1272</v>
      </c>
      <c r="C200" s="28" t="s">
        <v>1272</v>
      </c>
      <c r="D200" s="28" t="s">
        <v>1272</v>
      </c>
      <c r="E200" s="28" t="s">
        <v>1272</v>
      </c>
      <c r="F200" s="28" t="s">
        <v>1272</v>
      </c>
      <c r="G200" s="28" t="s">
        <v>1272</v>
      </c>
      <c r="H200" s="28" t="s">
        <v>1272</v>
      </c>
      <c r="I200" s="28" t="s">
        <v>1272</v>
      </c>
      <c r="J200" s="28" t="s">
        <v>1272</v>
      </c>
      <c r="K200" s="28" t="s">
        <v>1272</v>
      </c>
      <c r="L200" s="28" t="s">
        <v>1272</v>
      </c>
      <c r="M200" s="28" t="s">
        <v>1272</v>
      </c>
      <c r="N200" s="28" t="s">
        <v>1272</v>
      </c>
      <c r="O200" s="28" t="s">
        <v>1272</v>
      </c>
      <c r="P200" s="28" t="s">
        <v>1272</v>
      </c>
      <c r="Q200" s="28" t="s">
        <v>1272</v>
      </c>
      <c r="R200" s="28" t="s">
        <v>1272</v>
      </c>
      <c r="S200" s="28" t="s">
        <v>1272</v>
      </c>
      <c r="T200" s="28" t="s">
        <v>1272</v>
      </c>
      <c r="U200" s="28" t="s">
        <v>1272</v>
      </c>
      <c r="V200" s="28" t="s">
        <v>1272</v>
      </c>
      <c r="W200" s="28" t="s">
        <v>1272</v>
      </c>
      <c r="X200" s="28" t="s">
        <v>1272</v>
      </c>
      <c r="Y200" s="28" t="s">
        <v>1273</v>
      </c>
      <c r="Z200" s="28" t="s">
        <v>1273</v>
      </c>
      <c r="AA200" s="28" t="s">
        <v>1273</v>
      </c>
      <c r="AB200" s="28" t="s">
        <v>1273</v>
      </c>
      <c r="AC200" s="28" t="s">
        <v>1273</v>
      </c>
      <c r="AD200" s="28" t="s">
        <v>1272</v>
      </c>
      <c r="AE200" s="28" t="s">
        <v>1272</v>
      </c>
      <c r="AF200" s="28" t="s">
        <v>1272</v>
      </c>
      <c r="AG200" s="28" t="s">
        <v>1272</v>
      </c>
      <c r="AH200" s="28" t="s">
        <v>1272</v>
      </c>
      <c r="AI200" s="28" t="s">
        <v>1272</v>
      </c>
      <c r="AJ200" s="28" t="s">
        <v>1272</v>
      </c>
    </row>
    <row r="201" spans="1:36">
      <c r="A201" s="29" t="s">
        <v>455</v>
      </c>
      <c r="B201" s="28" t="s">
        <v>1272</v>
      </c>
      <c r="C201" s="28" t="s">
        <v>1272</v>
      </c>
      <c r="D201" s="28" t="s">
        <v>1272</v>
      </c>
      <c r="E201" s="28" t="s">
        <v>1272</v>
      </c>
      <c r="F201" s="28" t="s">
        <v>1272</v>
      </c>
      <c r="G201" s="28" t="s">
        <v>1272</v>
      </c>
      <c r="H201" s="28" t="s">
        <v>1272</v>
      </c>
      <c r="I201" s="28" t="s">
        <v>1272</v>
      </c>
      <c r="J201" s="28" t="s">
        <v>1272</v>
      </c>
      <c r="K201" s="28" t="s">
        <v>1272</v>
      </c>
      <c r="L201" s="28" t="s">
        <v>1273</v>
      </c>
      <c r="M201" s="28" t="s">
        <v>1273</v>
      </c>
      <c r="N201" s="28" t="s">
        <v>1272</v>
      </c>
      <c r="O201" s="28" t="s">
        <v>1273</v>
      </c>
      <c r="P201" s="28" t="s">
        <v>1272</v>
      </c>
      <c r="Q201" s="28" t="s">
        <v>1272</v>
      </c>
      <c r="R201" s="28" t="s">
        <v>1272</v>
      </c>
      <c r="S201" s="28" t="s">
        <v>1273</v>
      </c>
      <c r="T201" s="28" t="s">
        <v>1273</v>
      </c>
      <c r="U201" s="28" t="s">
        <v>1273</v>
      </c>
      <c r="V201" s="28" t="s">
        <v>1273</v>
      </c>
      <c r="W201" s="28" t="s">
        <v>1273</v>
      </c>
      <c r="X201" s="28" t="s">
        <v>1273</v>
      </c>
      <c r="Y201" s="28" t="s">
        <v>1273</v>
      </c>
      <c r="Z201" s="28" t="s">
        <v>1273</v>
      </c>
      <c r="AA201" s="28" t="s">
        <v>1273</v>
      </c>
      <c r="AB201" s="28" t="s">
        <v>1273</v>
      </c>
      <c r="AC201" s="28" t="s">
        <v>1273</v>
      </c>
      <c r="AD201" s="28" t="s">
        <v>1273</v>
      </c>
      <c r="AE201" s="28" t="s">
        <v>1273</v>
      </c>
      <c r="AF201" s="28" t="s">
        <v>1273</v>
      </c>
      <c r="AG201" s="28" t="s">
        <v>1273</v>
      </c>
      <c r="AH201" s="28" t="s">
        <v>1273</v>
      </c>
      <c r="AI201" s="28" t="s">
        <v>1273</v>
      </c>
      <c r="AJ201" s="28" t="s">
        <v>1273</v>
      </c>
    </row>
    <row r="202" spans="1:36">
      <c r="A202" s="29" t="s">
        <v>1108</v>
      </c>
      <c r="B202" s="28" t="s">
        <v>1210</v>
      </c>
      <c r="C202" s="28" t="s">
        <v>1210</v>
      </c>
      <c r="D202" s="28" t="s">
        <v>1210</v>
      </c>
      <c r="E202" s="28" t="s">
        <v>1210</v>
      </c>
      <c r="F202" s="28" t="s">
        <v>1272</v>
      </c>
      <c r="G202" s="28" t="s">
        <v>1272</v>
      </c>
      <c r="H202" s="28" t="s">
        <v>1272</v>
      </c>
      <c r="I202" s="28" t="s">
        <v>1272</v>
      </c>
      <c r="J202" s="28" t="s">
        <v>1272</v>
      </c>
      <c r="K202" s="28" t="s">
        <v>1272</v>
      </c>
      <c r="L202" s="28" t="s">
        <v>1271</v>
      </c>
      <c r="M202" s="28" t="s">
        <v>1271</v>
      </c>
      <c r="N202" s="28" t="s">
        <v>1271</v>
      </c>
      <c r="O202" s="28" t="s">
        <v>1272</v>
      </c>
      <c r="P202" s="28" t="s">
        <v>1272</v>
      </c>
      <c r="Q202" s="28" t="s">
        <v>1272</v>
      </c>
      <c r="R202" s="28" t="s">
        <v>1272</v>
      </c>
      <c r="S202" s="28" t="s">
        <v>1272</v>
      </c>
      <c r="T202" s="28" t="s">
        <v>1272</v>
      </c>
      <c r="U202" s="28" t="s">
        <v>1272</v>
      </c>
      <c r="V202" s="28" t="s">
        <v>1272</v>
      </c>
      <c r="W202" s="28" t="s">
        <v>1272</v>
      </c>
      <c r="X202" s="28" t="s">
        <v>1272</v>
      </c>
      <c r="Y202" s="28" t="s">
        <v>1272</v>
      </c>
      <c r="Z202" s="28" t="s">
        <v>1273</v>
      </c>
      <c r="AA202" s="28" t="s">
        <v>1273</v>
      </c>
      <c r="AB202" s="28" t="s">
        <v>1273</v>
      </c>
      <c r="AC202" s="28" t="s">
        <v>1273</v>
      </c>
      <c r="AD202" s="28" t="s">
        <v>1273</v>
      </c>
      <c r="AE202" s="28" t="s">
        <v>1273</v>
      </c>
      <c r="AF202" s="28" t="s">
        <v>1273</v>
      </c>
      <c r="AG202" s="28" t="s">
        <v>1273</v>
      </c>
      <c r="AH202" s="28" t="s">
        <v>1273</v>
      </c>
      <c r="AI202" s="28" t="s">
        <v>1273</v>
      </c>
      <c r="AJ202" s="28" t="s">
        <v>1273</v>
      </c>
    </row>
    <row r="203" spans="1:36">
      <c r="A203" s="29" t="s">
        <v>1204</v>
      </c>
      <c r="B203" s="28" t="s">
        <v>1210</v>
      </c>
      <c r="C203" s="28" t="s">
        <v>1210</v>
      </c>
      <c r="D203" s="28" t="s">
        <v>1210</v>
      </c>
      <c r="E203" s="28" t="s">
        <v>1210</v>
      </c>
      <c r="F203" s="28" t="s">
        <v>1210</v>
      </c>
      <c r="G203" s="28" t="s">
        <v>1210</v>
      </c>
      <c r="H203" s="28" t="s">
        <v>1210</v>
      </c>
      <c r="I203" s="28" t="s">
        <v>1210</v>
      </c>
      <c r="J203" s="28" t="s">
        <v>1210</v>
      </c>
      <c r="K203" s="28" t="s">
        <v>1210</v>
      </c>
      <c r="L203" s="28" t="s">
        <v>1210</v>
      </c>
      <c r="M203" s="28" t="s">
        <v>1210</v>
      </c>
      <c r="N203" s="28" t="s">
        <v>1210</v>
      </c>
      <c r="O203" s="28" t="s">
        <v>1210</v>
      </c>
      <c r="P203" s="28" t="s">
        <v>1210</v>
      </c>
      <c r="Q203" s="28" t="s">
        <v>1210</v>
      </c>
      <c r="R203" s="28" t="s">
        <v>1210</v>
      </c>
      <c r="S203" s="28" t="s">
        <v>1210</v>
      </c>
      <c r="T203" s="28" t="s">
        <v>1210</v>
      </c>
      <c r="U203" s="28" t="s">
        <v>1210</v>
      </c>
      <c r="V203" s="28" t="s">
        <v>1210</v>
      </c>
      <c r="W203" s="28" t="s">
        <v>1210</v>
      </c>
      <c r="X203" s="28" t="s">
        <v>1274</v>
      </c>
      <c r="Y203" s="28" t="s">
        <v>1274</v>
      </c>
      <c r="Z203" s="28" t="s">
        <v>1274</v>
      </c>
      <c r="AA203" s="28" t="s">
        <v>1274</v>
      </c>
      <c r="AB203" s="28" t="s">
        <v>1274</v>
      </c>
      <c r="AC203" s="28" t="s">
        <v>1274</v>
      </c>
      <c r="AD203" s="28" t="s">
        <v>1274</v>
      </c>
      <c r="AE203" s="28" t="s">
        <v>1274</v>
      </c>
      <c r="AF203" s="28" t="s">
        <v>1274</v>
      </c>
      <c r="AG203" s="28" t="s">
        <v>1274</v>
      </c>
      <c r="AH203" s="28" t="s">
        <v>1274</v>
      </c>
      <c r="AI203" s="28" t="s">
        <v>1274</v>
      </c>
      <c r="AJ203" s="28" t="s">
        <v>1274</v>
      </c>
    </row>
    <row r="204" spans="1:36">
      <c r="A204" s="29" t="s">
        <v>1159</v>
      </c>
      <c r="B204" s="28" t="s">
        <v>1210</v>
      </c>
      <c r="C204" s="28" t="s">
        <v>1210</v>
      </c>
      <c r="D204" s="28" t="s">
        <v>1210</v>
      </c>
      <c r="E204" s="28" t="s">
        <v>1210</v>
      </c>
      <c r="F204" s="28" t="s">
        <v>1210</v>
      </c>
      <c r="G204" s="28" t="s">
        <v>1210</v>
      </c>
      <c r="H204" s="28" t="s">
        <v>1210</v>
      </c>
      <c r="I204" s="28" t="s">
        <v>1210</v>
      </c>
      <c r="J204" s="28" t="s">
        <v>1210</v>
      </c>
      <c r="K204" s="28" t="s">
        <v>1210</v>
      </c>
      <c r="L204" s="28" t="s">
        <v>1210</v>
      </c>
      <c r="M204" s="28" t="s">
        <v>1210</v>
      </c>
      <c r="N204" s="28" t="s">
        <v>1210</v>
      </c>
      <c r="O204" s="28" t="s">
        <v>1210</v>
      </c>
      <c r="P204" s="28" t="s">
        <v>1210</v>
      </c>
      <c r="Q204" s="28" t="s">
        <v>1210</v>
      </c>
      <c r="R204" s="28" t="s">
        <v>1210</v>
      </c>
      <c r="S204" s="28" t="s">
        <v>1210</v>
      </c>
      <c r="T204" s="28" t="s">
        <v>1210</v>
      </c>
      <c r="U204" s="28" t="s">
        <v>1210</v>
      </c>
      <c r="V204" s="28" t="s">
        <v>1210</v>
      </c>
      <c r="W204" s="28" t="s">
        <v>1210</v>
      </c>
      <c r="X204" s="28" t="s">
        <v>1272</v>
      </c>
      <c r="Y204" s="28" t="s">
        <v>1272</v>
      </c>
      <c r="Z204" s="28" t="s">
        <v>1273</v>
      </c>
      <c r="AA204" s="28" t="s">
        <v>1273</v>
      </c>
      <c r="AB204" s="28" t="s">
        <v>1273</v>
      </c>
      <c r="AC204" s="28" t="s">
        <v>1273</v>
      </c>
      <c r="AD204" s="28" t="s">
        <v>1273</v>
      </c>
      <c r="AE204" s="28" t="s">
        <v>1273</v>
      </c>
      <c r="AF204" s="28" t="s">
        <v>1273</v>
      </c>
      <c r="AG204" s="28" t="s">
        <v>1273</v>
      </c>
      <c r="AH204" s="28" t="s">
        <v>1273</v>
      </c>
      <c r="AI204" s="28" t="s">
        <v>1273</v>
      </c>
      <c r="AJ204" s="28" t="s">
        <v>1273</v>
      </c>
    </row>
    <row r="205" spans="1:36">
      <c r="A205" s="29" t="s">
        <v>1110</v>
      </c>
      <c r="B205" s="28" t="s">
        <v>1271</v>
      </c>
      <c r="C205" s="28" t="s">
        <v>1271</v>
      </c>
      <c r="D205" s="28" t="s">
        <v>1271</v>
      </c>
      <c r="E205" s="28" t="s">
        <v>1271</v>
      </c>
      <c r="F205" s="28" t="s">
        <v>1271</v>
      </c>
      <c r="G205" s="28" t="s">
        <v>1271</v>
      </c>
      <c r="H205" s="28" t="s">
        <v>1271</v>
      </c>
      <c r="I205" s="28" t="s">
        <v>1271</v>
      </c>
      <c r="J205" s="28" t="s">
        <v>1271</v>
      </c>
      <c r="K205" s="28" t="s">
        <v>1271</v>
      </c>
      <c r="L205" s="28" t="s">
        <v>1271</v>
      </c>
      <c r="M205" s="28" t="s">
        <v>1271</v>
      </c>
      <c r="N205" s="28" t="s">
        <v>1271</v>
      </c>
      <c r="O205" s="28" t="s">
        <v>1271</v>
      </c>
      <c r="P205" s="28" t="s">
        <v>1271</v>
      </c>
      <c r="Q205" s="28" t="s">
        <v>1271</v>
      </c>
      <c r="R205" s="28" t="s">
        <v>1271</v>
      </c>
      <c r="S205" s="28" t="s">
        <v>1271</v>
      </c>
      <c r="T205" s="28" t="s">
        <v>1271</v>
      </c>
      <c r="U205" s="28" t="s">
        <v>1271</v>
      </c>
      <c r="V205" s="28" t="s">
        <v>1271</v>
      </c>
      <c r="W205" s="28" t="s">
        <v>1271</v>
      </c>
      <c r="X205" s="28" t="s">
        <v>1271</v>
      </c>
      <c r="Y205" s="28" t="s">
        <v>1271</v>
      </c>
      <c r="Z205" s="28" t="s">
        <v>1271</v>
      </c>
      <c r="AA205" s="28" t="s">
        <v>1271</v>
      </c>
      <c r="AB205" s="28" t="s">
        <v>1271</v>
      </c>
      <c r="AC205" s="28" t="s">
        <v>1271</v>
      </c>
      <c r="AD205" s="28" t="s">
        <v>1271</v>
      </c>
      <c r="AE205" s="28" t="s">
        <v>1271</v>
      </c>
      <c r="AF205" s="28" t="s">
        <v>1271</v>
      </c>
      <c r="AG205" s="28" t="s">
        <v>1271</v>
      </c>
      <c r="AH205" s="28" t="s">
        <v>1271</v>
      </c>
      <c r="AI205" s="28" t="s">
        <v>1271</v>
      </c>
      <c r="AJ205" s="28" t="s">
        <v>1271</v>
      </c>
    </row>
    <row r="206" spans="1:36">
      <c r="A206" s="29" t="s">
        <v>1111</v>
      </c>
      <c r="B206" s="28" t="s">
        <v>1210</v>
      </c>
      <c r="C206" s="28" t="s">
        <v>1210</v>
      </c>
      <c r="D206" s="28" t="s">
        <v>1210</v>
      </c>
      <c r="E206" s="28" t="s">
        <v>1210</v>
      </c>
      <c r="F206" s="28" t="s">
        <v>1272</v>
      </c>
      <c r="G206" s="28" t="s">
        <v>1272</v>
      </c>
      <c r="H206" s="28" t="s">
        <v>1272</v>
      </c>
      <c r="I206" s="28" t="s">
        <v>1272</v>
      </c>
      <c r="J206" s="28" t="s">
        <v>1272</v>
      </c>
      <c r="K206" s="28" t="s">
        <v>1272</v>
      </c>
      <c r="L206" s="28" t="s">
        <v>1272</v>
      </c>
      <c r="M206" s="28" t="s">
        <v>1272</v>
      </c>
      <c r="N206" s="28" t="s">
        <v>1271</v>
      </c>
      <c r="O206" s="28" t="s">
        <v>1271</v>
      </c>
      <c r="P206" s="28" t="s">
        <v>1271</v>
      </c>
      <c r="Q206" s="28" t="s">
        <v>1272</v>
      </c>
      <c r="R206" s="28" t="s">
        <v>1272</v>
      </c>
      <c r="S206" s="28" t="s">
        <v>1272</v>
      </c>
      <c r="T206" s="28" t="s">
        <v>1272</v>
      </c>
      <c r="U206" s="28" t="s">
        <v>1272</v>
      </c>
      <c r="V206" s="28" t="s">
        <v>1272</v>
      </c>
      <c r="W206" s="28" t="s">
        <v>1272</v>
      </c>
      <c r="X206" s="28" t="s">
        <v>1272</v>
      </c>
      <c r="Y206" s="28" t="s">
        <v>1272</v>
      </c>
      <c r="Z206" s="28" t="s">
        <v>1272</v>
      </c>
      <c r="AA206" s="28" t="s">
        <v>1272</v>
      </c>
      <c r="AB206" s="28" t="s">
        <v>1272</v>
      </c>
      <c r="AC206" s="28" t="s">
        <v>1272</v>
      </c>
      <c r="AD206" s="28" t="s">
        <v>1272</v>
      </c>
      <c r="AE206" s="28" t="s">
        <v>1272</v>
      </c>
      <c r="AF206" s="28" t="s">
        <v>1272</v>
      </c>
      <c r="AG206" s="28" t="s">
        <v>1272</v>
      </c>
      <c r="AH206" s="28" t="s">
        <v>1272</v>
      </c>
      <c r="AI206" s="28" t="s">
        <v>1272</v>
      </c>
      <c r="AJ206" s="28" t="s">
        <v>1272</v>
      </c>
    </row>
    <row r="207" spans="1:36">
      <c r="A207" s="29" t="s">
        <v>1168</v>
      </c>
      <c r="B207" s="28" t="s">
        <v>1274</v>
      </c>
      <c r="C207" s="28" t="s">
        <v>1274</v>
      </c>
      <c r="D207" s="28" t="s">
        <v>1274</v>
      </c>
      <c r="E207" s="28" t="s">
        <v>1274</v>
      </c>
      <c r="F207" s="28" t="s">
        <v>1274</v>
      </c>
      <c r="G207" s="28" t="s">
        <v>1274</v>
      </c>
      <c r="H207" s="28" t="s">
        <v>1274</v>
      </c>
      <c r="I207" s="28" t="s">
        <v>1274</v>
      </c>
      <c r="J207" s="28" t="s">
        <v>1274</v>
      </c>
      <c r="K207" s="28" t="s">
        <v>1274</v>
      </c>
      <c r="L207" s="28" t="s">
        <v>1274</v>
      </c>
      <c r="M207" s="28" t="s">
        <v>1274</v>
      </c>
      <c r="N207" s="28" t="s">
        <v>1274</v>
      </c>
      <c r="O207" s="28" t="s">
        <v>1274</v>
      </c>
      <c r="P207" s="28" t="s">
        <v>1274</v>
      </c>
      <c r="Q207" s="28" t="s">
        <v>1274</v>
      </c>
      <c r="R207" s="28" t="s">
        <v>1274</v>
      </c>
      <c r="S207" s="28" t="s">
        <v>1274</v>
      </c>
      <c r="T207" s="28" t="s">
        <v>1274</v>
      </c>
      <c r="U207" s="28" t="s">
        <v>1274</v>
      </c>
      <c r="V207" s="28" t="s">
        <v>1274</v>
      </c>
      <c r="W207" s="28" t="s">
        <v>1274</v>
      </c>
      <c r="X207" s="28" t="s">
        <v>1274</v>
      </c>
      <c r="Y207" s="28" t="s">
        <v>1274</v>
      </c>
      <c r="Z207" s="28" t="s">
        <v>1274</v>
      </c>
      <c r="AA207" s="28" t="s">
        <v>1274</v>
      </c>
      <c r="AB207" s="28" t="s">
        <v>1274</v>
      </c>
      <c r="AC207" s="28" t="s">
        <v>1274</v>
      </c>
      <c r="AD207" s="28" t="s">
        <v>1274</v>
      </c>
      <c r="AE207" s="28" t="s">
        <v>1274</v>
      </c>
      <c r="AF207" s="28" t="s">
        <v>1274</v>
      </c>
      <c r="AG207" s="28" t="s">
        <v>1274</v>
      </c>
      <c r="AH207" s="28" t="s">
        <v>1274</v>
      </c>
      <c r="AI207" s="28" t="s">
        <v>1274</v>
      </c>
      <c r="AJ207" s="28" t="s">
        <v>1274</v>
      </c>
    </row>
    <row r="208" spans="1:36">
      <c r="A208" s="29" t="s">
        <v>1160</v>
      </c>
      <c r="B208" s="28" t="s">
        <v>1274</v>
      </c>
      <c r="C208" s="28" t="s">
        <v>1274</v>
      </c>
      <c r="D208" s="28" t="s">
        <v>1274</v>
      </c>
      <c r="E208" s="28" t="s">
        <v>1274</v>
      </c>
      <c r="F208" s="28" t="s">
        <v>1274</v>
      </c>
      <c r="G208" s="28" t="s">
        <v>1274</v>
      </c>
      <c r="H208" s="28" t="s">
        <v>1274</v>
      </c>
      <c r="I208" s="28" t="s">
        <v>1274</v>
      </c>
      <c r="J208" s="28" t="s">
        <v>1274</v>
      </c>
      <c r="K208" s="28" t="s">
        <v>1274</v>
      </c>
      <c r="L208" s="28" t="s">
        <v>1274</v>
      </c>
      <c r="M208" s="28" t="s">
        <v>1274</v>
      </c>
      <c r="N208" s="28" t="s">
        <v>1274</v>
      </c>
      <c r="O208" s="28" t="s">
        <v>1274</v>
      </c>
      <c r="P208" s="28" t="s">
        <v>1274</v>
      </c>
      <c r="Q208" s="28" t="s">
        <v>1274</v>
      </c>
      <c r="R208" s="28" t="s">
        <v>1274</v>
      </c>
      <c r="S208" s="28" t="s">
        <v>1274</v>
      </c>
      <c r="T208" s="28" t="s">
        <v>1274</v>
      </c>
      <c r="U208" s="28" t="s">
        <v>1274</v>
      </c>
      <c r="V208" s="28" t="s">
        <v>1274</v>
      </c>
      <c r="W208" s="28" t="s">
        <v>1274</v>
      </c>
      <c r="X208" s="28" t="s">
        <v>1274</v>
      </c>
      <c r="Y208" s="28" t="s">
        <v>1274</v>
      </c>
      <c r="Z208" s="28" t="s">
        <v>1274</v>
      </c>
      <c r="AA208" s="28" t="s">
        <v>1274</v>
      </c>
      <c r="AB208" s="28" t="s">
        <v>1274</v>
      </c>
      <c r="AC208" s="28" t="s">
        <v>1274</v>
      </c>
      <c r="AD208" s="28" t="s">
        <v>1274</v>
      </c>
      <c r="AE208" s="28" t="s">
        <v>1274</v>
      </c>
      <c r="AF208" s="28" t="s">
        <v>1274</v>
      </c>
      <c r="AG208" s="28" t="s">
        <v>1274</v>
      </c>
      <c r="AH208" s="28" t="s">
        <v>1274</v>
      </c>
      <c r="AI208" s="28" t="s">
        <v>1274</v>
      </c>
      <c r="AJ208" s="28" t="s">
        <v>1274</v>
      </c>
    </row>
    <row r="209" spans="1:36">
      <c r="A209" s="29" t="s">
        <v>155</v>
      </c>
      <c r="B209" s="28" t="s">
        <v>1274</v>
      </c>
      <c r="C209" s="28" t="s">
        <v>1274</v>
      </c>
      <c r="D209" s="28" t="s">
        <v>1274</v>
      </c>
      <c r="E209" s="28" t="s">
        <v>1274</v>
      </c>
      <c r="F209" s="28" t="s">
        <v>1274</v>
      </c>
      <c r="G209" s="28" t="s">
        <v>1274</v>
      </c>
      <c r="H209" s="28" t="s">
        <v>1274</v>
      </c>
      <c r="I209" s="28" t="s">
        <v>1274</v>
      </c>
      <c r="J209" s="28" t="s">
        <v>1274</v>
      </c>
      <c r="K209" s="28" t="s">
        <v>1274</v>
      </c>
      <c r="L209" s="28" t="s">
        <v>1274</v>
      </c>
      <c r="M209" s="28" t="s">
        <v>1274</v>
      </c>
      <c r="N209" s="28" t="s">
        <v>1274</v>
      </c>
      <c r="O209" s="28" t="s">
        <v>1274</v>
      </c>
      <c r="P209" s="28" t="s">
        <v>1274</v>
      </c>
      <c r="Q209" s="28" t="s">
        <v>1274</v>
      </c>
      <c r="R209" s="28" t="s">
        <v>1274</v>
      </c>
      <c r="S209" s="28" t="s">
        <v>1274</v>
      </c>
      <c r="T209" s="28" t="s">
        <v>1274</v>
      </c>
      <c r="U209" s="28" t="s">
        <v>1274</v>
      </c>
      <c r="V209" s="28" t="s">
        <v>1274</v>
      </c>
      <c r="W209" s="28" t="s">
        <v>1274</v>
      </c>
      <c r="X209" s="28" t="s">
        <v>1274</v>
      </c>
      <c r="Y209" s="28" t="s">
        <v>1274</v>
      </c>
      <c r="Z209" s="28" t="s">
        <v>1274</v>
      </c>
      <c r="AA209" s="28" t="s">
        <v>1274</v>
      </c>
      <c r="AB209" s="28" t="s">
        <v>1274</v>
      </c>
      <c r="AC209" s="28" t="s">
        <v>1274</v>
      </c>
      <c r="AD209" s="28" t="s">
        <v>1274</v>
      </c>
      <c r="AE209" s="28" t="s">
        <v>1274</v>
      </c>
      <c r="AF209" s="28" t="s">
        <v>1274</v>
      </c>
      <c r="AG209" s="28" t="s">
        <v>1274</v>
      </c>
      <c r="AH209" s="28" t="s">
        <v>1274</v>
      </c>
      <c r="AI209" s="28" t="s">
        <v>1274</v>
      </c>
      <c r="AJ209" s="28" t="s">
        <v>1274</v>
      </c>
    </row>
    <row r="210" spans="1:36">
      <c r="A210" s="29" t="s">
        <v>334</v>
      </c>
      <c r="B210" s="28" t="s">
        <v>1273</v>
      </c>
      <c r="C210" s="28" t="s">
        <v>1273</v>
      </c>
      <c r="D210" s="28" t="s">
        <v>1273</v>
      </c>
      <c r="E210" s="28" t="s">
        <v>1273</v>
      </c>
      <c r="F210" s="28" t="s">
        <v>1273</v>
      </c>
      <c r="G210" s="28" t="s">
        <v>1273</v>
      </c>
      <c r="H210" s="28" t="s">
        <v>1273</v>
      </c>
      <c r="I210" s="28" t="s">
        <v>1273</v>
      </c>
      <c r="J210" s="28" t="s">
        <v>1273</v>
      </c>
      <c r="K210" s="28" t="s">
        <v>1273</v>
      </c>
      <c r="L210" s="28" t="s">
        <v>1273</v>
      </c>
      <c r="M210" s="28" t="s">
        <v>1273</v>
      </c>
      <c r="N210" s="28" t="s">
        <v>1273</v>
      </c>
      <c r="O210" s="28" t="s">
        <v>1273</v>
      </c>
      <c r="P210" s="28" t="s">
        <v>1273</v>
      </c>
      <c r="Q210" s="28" t="s">
        <v>1273</v>
      </c>
      <c r="R210" s="28" t="s">
        <v>1273</v>
      </c>
      <c r="S210" s="28" t="s">
        <v>1273</v>
      </c>
      <c r="T210" s="28" t="s">
        <v>1273</v>
      </c>
      <c r="U210" s="28" t="s">
        <v>1273</v>
      </c>
      <c r="V210" s="28" t="s">
        <v>1273</v>
      </c>
      <c r="W210" s="28" t="s">
        <v>1273</v>
      </c>
      <c r="X210" s="28" t="s">
        <v>1273</v>
      </c>
      <c r="Y210" s="28" t="s">
        <v>1273</v>
      </c>
      <c r="Z210" s="28" t="s">
        <v>1273</v>
      </c>
      <c r="AA210" s="28" t="s">
        <v>1274</v>
      </c>
      <c r="AB210" s="28" t="s">
        <v>1274</v>
      </c>
      <c r="AC210" s="28" t="s">
        <v>1274</v>
      </c>
      <c r="AD210" s="28" t="s">
        <v>1274</v>
      </c>
      <c r="AE210" s="28" t="s">
        <v>1274</v>
      </c>
      <c r="AF210" s="28" t="s">
        <v>1274</v>
      </c>
      <c r="AG210" s="28" t="s">
        <v>1274</v>
      </c>
      <c r="AH210" s="28" t="s">
        <v>1274</v>
      </c>
      <c r="AI210" s="28" t="s">
        <v>1274</v>
      </c>
      <c r="AJ210" s="28" t="s">
        <v>1274</v>
      </c>
    </row>
    <row r="211" spans="1:36">
      <c r="A211" s="29" t="s">
        <v>1112</v>
      </c>
      <c r="B211" s="28" t="s">
        <v>1210</v>
      </c>
      <c r="C211" s="28" t="s">
        <v>1210</v>
      </c>
      <c r="D211" s="28" t="s">
        <v>1210</v>
      </c>
      <c r="E211" s="28" t="s">
        <v>1210</v>
      </c>
      <c r="F211" s="28" t="s">
        <v>1272</v>
      </c>
      <c r="G211" s="28" t="s">
        <v>1272</v>
      </c>
      <c r="H211" s="28" t="s">
        <v>1272</v>
      </c>
      <c r="I211" s="28" t="s">
        <v>1272</v>
      </c>
      <c r="J211" s="28" t="s">
        <v>1272</v>
      </c>
      <c r="K211" s="28" t="s">
        <v>1272</v>
      </c>
      <c r="L211" s="28" t="s">
        <v>1272</v>
      </c>
      <c r="M211" s="28" t="s">
        <v>1272</v>
      </c>
      <c r="N211" s="28" t="s">
        <v>1271</v>
      </c>
      <c r="O211" s="28" t="s">
        <v>1271</v>
      </c>
      <c r="P211" s="28" t="s">
        <v>1271</v>
      </c>
      <c r="Q211" s="28" t="s">
        <v>1271</v>
      </c>
      <c r="R211" s="28" t="s">
        <v>1271</v>
      </c>
      <c r="S211" s="28" t="s">
        <v>1271</v>
      </c>
      <c r="T211" s="28" t="s">
        <v>1271</v>
      </c>
      <c r="U211" s="28" t="s">
        <v>1271</v>
      </c>
      <c r="V211" s="28" t="s">
        <v>1271</v>
      </c>
      <c r="W211" s="28" t="s">
        <v>1271</v>
      </c>
      <c r="X211" s="28" t="s">
        <v>1272</v>
      </c>
      <c r="Y211" s="28" t="s">
        <v>1272</v>
      </c>
      <c r="Z211" s="28" t="s">
        <v>1272</v>
      </c>
      <c r="AA211" s="28" t="s">
        <v>1272</v>
      </c>
      <c r="AB211" s="28" t="s">
        <v>1272</v>
      </c>
      <c r="AC211" s="28" t="s">
        <v>1272</v>
      </c>
      <c r="AD211" s="28" t="s">
        <v>1272</v>
      </c>
      <c r="AE211" s="28" t="s">
        <v>1272</v>
      </c>
      <c r="AF211" s="28" t="s">
        <v>1272</v>
      </c>
      <c r="AG211" s="28" t="s">
        <v>1272</v>
      </c>
      <c r="AH211" s="28" t="s">
        <v>1272</v>
      </c>
      <c r="AI211" s="28" t="s">
        <v>1272</v>
      </c>
      <c r="AJ211" s="28" t="s">
        <v>1272</v>
      </c>
    </row>
    <row r="212" spans="1:36">
      <c r="A212" s="29" t="s">
        <v>1161</v>
      </c>
      <c r="B212" s="28" t="s">
        <v>1272</v>
      </c>
      <c r="C212" s="28" t="s">
        <v>1272</v>
      </c>
      <c r="D212" s="28" t="s">
        <v>1272</v>
      </c>
      <c r="E212" s="28" t="s">
        <v>1272</v>
      </c>
      <c r="F212" s="28" t="s">
        <v>1272</v>
      </c>
      <c r="G212" s="28" t="s">
        <v>1272</v>
      </c>
      <c r="H212" s="28" t="s">
        <v>1272</v>
      </c>
      <c r="I212" s="28" t="s">
        <v>1272</v>
      </c>
      <c r="J212" s="28" t="s">
        <v>1272</v>
      </c>
      <c r="K212" s="28" t="s">
        <v>1272</v>
      </c>
      <c r="L212" s="28" t="s">
        <v>1272</v>
      </c>
      <c r="M212" s="28" t="s">
        <v>1272</v>
      </c>
      <c r="N212" s="28" t="s">
        <v>1272</v>
      </c>
      <c r="O212" s="28" t="s">
        <v>1272</v>
      </c>
      <c r="P212" s="28" t="s">
        <v>1272</v>
      </c>
      <c r="Q212" s="28" t="s">
        <v>1272</v>
      </c>
      <c r="R212" s="28" t="s">
        <v>1272</v>
      </c>
      <c r="S212" s="28" t="s">
        <v>1272</v>
      </c>
      <c r="T212" s="28" t="s">
        <v>1272</v>
      </c>
      <c r="U212" s="28" t="s">
        <v>1272</v>
      </c>
      <c r="V212" s="28" t="s">
        <v>1272</v>
      </c>
      <c r="W212" s="28" t="s">
        <v>1272</v>
      </c>
      <c r="X212" s="28" t="s">
        <v>1272</v>
      </c>
      <c r="Y212" s="28" t="s">
        <v>1272</v>
      </c>
      <c r="Z212" s="28" t="s">
        <v>1272</v>
      </c>
      <c r="AA212" s="28" t="s">
        <v>1272</v>
      </c>
      <c r="AB212" s="28" t="s">
        <v>1272</v>
      </c>
      <c r="AC212" s="28" t="s">
        <v>1272</v>
      </c>
      <c r="AD212" s="28" t="s">
        <v>1272</v>
      </c>
      <c r="AE212" s="28" t="s">
        <v>1272</v>
      </c>
      <c r="AF212" s="28" t="s">
        <v>1272</v>
      </c>
      <c r="AG212" s="28" t="s">
        <v>1272</v>
      </c>
      <c r="AH212" s="28" t="s">
        <v>1272</v>
      </c>
      <c r="AI212" s="28" t="s">
        <v>1272</v>
      </c>
      <c r="AJ212" s="28" t="s">
        <v>1272</v>
      </c>
    </row>
    <row r="213" spans="1:36">
      <c r="A213" s="29" t="s">
        <v>1162</v>
      </c>
      <c r="B213" s="28" t="s">
        <v>1273</v>
      </c>
      <c r="C213" s="28" t="s">
        <v>1273</v>
      </c>
      <c r="D213" s="28" t="s">
        <v>1273</v>
      </c>
      <c r="E213" s="28" t="s">
        <v>1273</v>
      </c>
      <c r="F213" s="28" t="s">
        <v>1273</v>
      </c>
      <c r="G213" s="28" t="s">
        <v>1273</v>
      </c>
      <c r="H213" s="28" t="s">
        <v>1273</v>
      </c>
      <c r="I213" s="28" t="s">
        <v>1272</v>
      </c>
      <c r="J213" s="28" t="s">
        <v>1272</v>
      </c>
      <c r="K213" s="28" t="s">
        <v>1272</v>
      </c>
      <c r="L213" s="28" t="s">
        <v>1273</v>
      </c>
      <c r="M213" s="28" t="s">
        <v>1273</v>
      </c>
      <c r="N213" s="28" t="s">
        <v>1273</v>
      </c>
      <c r="O213" s="28" t="s">
        <v>1273</v>
      </c>
      <c r="P213" s="28" t="s">
        <v>1273</v>
      </c>
      <c r="Q213" s="28" t="s">
        <v>1273</v>
      </c>
      <c r="R213" s="28" t="s">
        <v>1273</v>
      </c>
      <c r="S213" s="28" t="s">
        <v>1273</v>
      </c>
      <c r="T213" s="28" t="s">
        <v>1273</v>
      </c>
      <c r="U213" s="28" t="s">
        <v>1273</v>
      </c>
      <c r="V213" s="28" t="s">
        <v>1273</v>
      </c>
      <c r="W213" s="28" t="s">
        <v>1273</v>
      </c>
      <c r="X213" s="28" t="s">
        <v>1273</v>
      </c>
      <c r="Y213" s="28" t="s">
        <v>1273</v>
      </c>
      <c r="Z213" s="28" t="s">
        <v>1273</v>
      </c>
      <c r="AA213" s="28" t="s">
        <v>1273</v>
      </c>
      <c r="AB213" s="28" t="s">
        <v>1273</v>
      </c>
      <c r="AC213" s="28" t="s">
        <v>1274</v>
      </c>
      <c r="AD213" s="28" t="s">
        <v>1273</v>
      </c>
      <c r="AE213" s="28" t="s">
        <v>1273</v>
      </c>
      <c r="AF213" s="28" t="s">
        <v>1273</v>
      </c>
      <c r="AG213" s="28" t="s">
        <v>1273</v>
      </c>
      <c r="AH213" s="28" t="s">
        <v>1273</v>
      </c>
    </row>
    <row r="214" spans="1:36">
      <c r="A214" s="29" t="s">
        <v>1116</v>
      </c>
      <c r="B214" s="28" t="s">
        <v>1271</v>
      </c>
      <c r="C214" s="28" t="s">
        <v>1271</v>
      </c>
      <c r="D214" s="28" t="s">
        <v>1271</v>
      </c>
      <c r="E214" s="28" t="s">
        <v>1271</v>
      </c>
      <c r="F214" s="28" t="s">
        <v>1271</v>
      </c>
      <c r="G214" s="28" t="s">
        <v>1271</v>
      </c>
      <c r="H214" s="28" t="s">
        <v>1271</v>
      </c>
      <c r="I214" s="28" t="s">
        <v>1271</v>
      </c>
      <c r="J214" s="28" t="s">
        <v>1271</v>
      </c>
      <c r="K214" s="28" t="s">
        <v>1271</v>
      </c>
      <c r="L214" s="28" t="s">
        <v>1271</v>
      </c>
      <c r="M214" s="28" t="s">
        <v>1271</v>
      </c>
      <c r="N214" s="28" t="s">
        <v>1271</v>
      </c>
      <c r="O214" s="28" t="s">
        <v>1271</v>
      </c>
      <c r="P214" s="28" t="s">
        <v>1271</v>
      </c>
      <c r="Q214" s="28" t="s">
        <v>1271</v>
      </c>
      <c r="R214" s="28" t="s">
        <v>1271</v>
      </c>
      <c r="S214" s="28" t="s">
        <v>1271</v>
      </c>
      <c r="T214" s="28" t="s">
        <v>1271</v>
      </c>
      <c r="U214" s="28" t="s">
        <v>1271</v>
      </c>
      <c r="V214" s="28" t="s">
        <v>1271</v>
      </c>
      <c r="W214" s="28" t="s">
        <v>1271</v>
      </c>
      <c r="X214" s="28" t="s">
        <v>1272</v>
      </c>
      <c r="Y214" s="28" t="s">
        <v>1272</v>
      </c>
      <c r="Z214" s="28" t="s">
        <v>1272</v>
      </c>
      <c r="AA214" s="28" t="s">
        <v>1272</v>
      </c>
      <c r="AB214" s="28" t="s">
        <v>1272</v>
      </c>
      <c r="AC214" s="28" t="s">
        <v>1272</v>
      </c>
      <c r="AD214" s="28" t="s">
        <v>1272</v>
      </c>
      <c r="AE214" s="28" t="s">
        <v>1272</v>
      </c>
      <c r="AF214" s="28" t="s">
        <v>1272</v>
      </c>
      <c r="AG214" s="28" t="s">
        <v>1272</v>
      </c>
      <c r="AH214" s="28" t="s">
        <v>1272</v>
      </c>
      <c r="AI214" s="28" t="s">
        <v>1272</v>
      </c>
      <c r="AJ214" s="28" t="s">
        <v>1272</v>
      </c>
    </row>
    <row r="215" spans="1:36">
      <c r="A215" s="29" t="s">
        <v>1207</v>
      </c>
      <c r="B215" s="28" t="s">
        <v>1274</v>
      </c>
      <c r="C215" s="28" t="s">
        <v>1274</v>
      </c>
      <c r="D215" s="28" t="s">
        <v>1274</v>
      </c>
      <c r="E215" s="28" t="s">
        <v>1274</v>
      </c>
      <c r="F215" s="28" t="s">
        <v>1274</v>
      </c>
      <c r="G215" s="28" t="s">
        <v>1274</v>
      </c>
      <c r="H215" s="28" t="s">
        <v>1274</v>
      </c>
      <c r="I215" s="28" t="s">
        <v>1274</v>
      </c>
      <c r="J215" s="28" t="s">
        <v>1274</v>
      </c>
      <c r="K215" s="28" t="s">
        <v>1274</v>
      </c>
      <c r="L215" s="28" t="s">
        <v>1274</v>
      </c>
      <c r="M215" s="28" t="s">
        <v>1274</v>
      </c>
      <c r="N215" s="28" t="s">
        <v>1274</v>
      </c>
      <c r="O215" s="28" t="s">
        <v>1274</v>
      </c>
      <c r="P215" s="28" t="s">
        <v>1274</v>
      </c>
      <c r="Q215" s="28" t="s">
        <v>1274</v>
      </c>
      <c r="R215" s="28" t="s">
        <v>1274</v>
      </c>
      <c r="S215" s="28" t="s">
        <v>1274</v>
      </c>
      <c r="T215" s="28" t="s">
        <v>1274</v>
      </c>
      <c r="U215" s="28" t="s">
        <v>1274</v>
      </c>
      <c r="V215" s="28" t="s">
        <v>1274</v>
      </c>
      <c r="W215" s="28" t="s">
        <v>1274</v>
      </c>
      <c r="X215" s="28" t="s">
        <v>1274</v>
      </c>
      <c r="Y215" s="28" t="s">
        <v>1274</v>
      </c>
      <c r="Z215" s="28" t="s">
        <v>1274</v>
      </c>
      <c r="AA215" s="28" t="s">
        <v>1274</v>
      </c>
      <c r="AB215" s="28" t="s">
        <v>1274</v>
      </c>
      <c r="AC215" s="28" t="s">
        <v>1274</v>
      </c>
      <c r="AD215" s="28" t="s">
        <v>1274</v>
      </c>
      <c r="AE215" s="28" t="s">
        <v>1274</v>
      </c>
      <c r="AF215" s="28" t="s">
        <v>1274</v>
      </c>
      <c r="AG215" s="28" t="s">
        <v>1274</v>
      </c>
      <c r="AH215" s="28" t="s">
        <v>1274</v>
      </c>
      <c r="AI215" s="28" t="s">
        <v>1274</v>
      </c>
      <c r="AJ215" s="28" t="s">
        <v>1274</v>
      </c>
    </row>
    <row r="216" spans="1:36">
      <c r="A216" s="29" t="s">
        <v>1196</v>
      </c>
      <c r="B216" s="28" t="s">
        <v>1210</v>
      </c>
      <c r="C216" s="28" t="s">
        <v>1210</v>
      </c>
      <c r="D216" s="28" t="s">
        <v>1210</v>
      </c>
      <c r="E216" s="28" t="s">
        <v>1210</v>
      </c>
      <c r="F216" s="28" t="s">
        <v>1210</v>
      </c>
      <c r="G216" s="28" t="s">
        <v>1210</v>
      </c>
      <c r="H216" s="28" t="s">
        <v>1210</v>
      </c>
      <c r="I216" s="28" t="s">
        <v>1272</v>
      </c>
      <c r="J216" s="28" t="s">
        <v>1272</v>
      </c>
      <c r="K216" s="28" t="s">
        <v>1272</v>
      </c>
      <c r="L216" s="28" t="s">
        <v>1272</v>
      </c>
      <c r="M216" s="28" t="s">
        <v>1272</v>
      </c>
      <c r="N216" s="28" t="s">
        <v>1272</v>
      </c>
      <c r="O216" s="28" t="s">
        <v>1272</v>
      </c>
      <c r="P216" s="28" t="s">
        <v>1272</v>
      </c>
      <c r="Q216" s="28" t="s">
        <v>1272</v>
      </c>
      <c r="R216" s="28" t="s">
        <v>1272</v>
      </c>
      <c r="S216" s="28" t="s">
        <v>1272</v>
      </c>
      <c r="T216" s="28" t="s">
        <v>1272</v>
      </c>
      <c r="U216" s="28" t="s">
        <v>1272</v>
      </c>
      <c r="V216" s="28" t="s">
        <v>1272</v>
      </c>
      <c r="W216" s="28" t="s">
        <v>1272</v>
      </c>
      <c r="X216" s="28" t="s">
        <v>1272</v>
      </c>
      <c r="Y216" s="28" t="s">
        <v>1272</v>
      </c>
      <c r="Z216" s="28" t="s">
        <v>1272</v>
      </c>
      <c r="AA216" s="28" t="s">
        <v>1272</v>
      </c>
      <c r="AB216" s="28" t="s">
        <v>1272</v>
      </c>
      <c r="AC216" s="28" t="s">
        <v>1272</v>
      </c>
      <c r="AD216" s="28" t="s">
        <v>1272</v>
      </c>
      <c r="AE216" s="28" t="s">
        <v>1272</v>
      </c>
      <c r="AF216" s="28" t="s">
        <v>1272</v>
      </c>
      <c r="AG216" s="28" t="s">
        <v>1272</v>
      </c>
      <c r="AH216" s="28" t="s">
        <v>1272</v>
      </c>
      <c r="AI216" s="28" t="s">
        <v>1272</v>
      </c>
      <c r="AJ216" s="28" t="s">
        <v>1272</v>
      </c>
    </row>
    <row r="217" spans="1:36">
      <c r="A217" s="29" t="s">
        <v>1163</v>
      </c>
      <c r="B217" s="28" t="s">
        <v>1281</v>
      </c>
      <c r="C217" s="28" t="s">
        <v>1281</v>
      </c>
      <c r="D217" s="28" t="s">
        <v>1272</v>
      </c>
      <c r="E217" s="28" t="s">
        <v>1272</v>
      </c>
      <c r="F217" s="28" t="s">
        <v>1271</v>
      </c>
      <c r="G217" s="28" t="s">
        <v>1271</v>
      </c>
      <c r="H217" s="28" t="s">
        <v>1271</v>
      </c>
      <c r="I217" s="28" t="s">
        <v>1271</v>
      </c>
      <c r="J217" s="28" t="s">
        <v>1271</v>
      </c>
      <c r="K217" s="28" t="s">
        <v>1271</v>
      </c>
      <c r="L217" s="28" t="s">
        <v>1271</v>
      </c>
      <c r="M217" s="28" t="s">
        <v>1271</v>
      </c>
      <c r="N217" s="28" t="s">
        <v>1271</v>
      </c>
      <c r="O217" s="28" t="s">
        <v>1271</v>
      </c>
      <c r="P217" s="28" t="s">
        <v>1271</v>
      </c>
      <c r="Q217" s="28" t="s">
        <v>1271</v>
      </c>
      <c r="R217" s="28" t="s">
        <v>1271</v>
      </c>
      <c r="S217" s="28" t="s">
        <v>1271</v>
      </c>
      <c r="T217" s="28" t="s">
        <v>1271</v>
      </c>
      <c r="U217" s="28" t="s">
        <v>1271</v>
      </c>
      <c r="V217" s="28" t="s">
        <v>1271</v>
      </c>
      <c r="W217" s="28" t="s">
        <v>1271</v>
      </c>
      <c r="X217" s="28" t="s">
        <v>1272</v>
      </c>
      <c r="Y217" s="28" t="s">
        <v>1272</v>
      </c>
      <c r="Z217" s="28" t="s">
        <v>1272</v>
      </c>
      <c r="AA217" s="28" t="s">
        <v>1272</v>
      </c>
      <c r="AB217" s="28" t="s">
        <v>1272</v>
      </c>
      <c r="AC217" s="28" t="s">
        <v>1272</v>
      </c>
      <c r="AD217" s="28" t="s">
        <v>1272</v>
      </c>
      <c r="AE217" s="28" t="s">
        <v>1272</v>
      </c>
      <c r="AF217" s="28" t="s">
        <v>1271</v>
      </c>
      <c r="AG217" s="28" t="s">
        <v>1271</v>
      </c>
      <c r="AH217" s="28" t="s">
        <v>1271</v>
      </c>
      <c r="AI217" s="28" t="s">
        <v>1271</v>
      </c>
      <c r="AJ217" s="28" t="s">
        <v>1271</v>
      </c>
    </row>
    <row r="218" spans="1:36">
      <c r="A218" s="29" t="s">
        <v>1120</v>
      </c>
      <c r="B218" s="28" t="s">
        <v>1271</v>
      </c>
      <c r="C218" s="28" t="s">
        <v>1271</v>
      </c>
      <c r="D218" s="28" t="s">
        <v>1271</v>
      </c>
      <c r="E218" s="28" t="s">
        <v>1271</v>
      </c>
      <c r="F218" s="28" t="s">
        <v>1271</v>
      </c>
      <c r="G218" s="28" t="s">
        <v>1271</v>
      </c>
      <c r="H218" s="28" t="s">
        <v>1271</v>
      </c>
      <c r="I218" s="28" t="s">
        <v>1271</v>
      </c>
      <c r="J218" s="28" t="s">
        <v>1271</v>
      </c>
      <c r="K218" s="28" t="s">
        <v>1271</v>
      </c>
      <c r="L218" s="28" t="s">
        <v>1271</v>
      </c>
      <c r="M218" s="28" t="s">
        <v>1271</v>
      </c>
      <c r="N218" s="28" t="s">
        <v>1271</v>
      </c>
      <c r="O218" s="28" t="s">
        <v>1271</v>
      </c>
      <c r="P218" s="28" t="s">
        <v>1271</v>
      </c>
      <c r="Q218" s="28" t="s">
        <v>1271</v>
      </c>
      <c r="R218" s="28" t="s">
        <v>1271</v>
      </c>
      <c r="S218" s="28" t="s">
        <v>1271</v>
      </c>
      <c r="T218" s="28" t="s">
        <v>1271</v>
      </c>
      <c r="U218" s="28" t="s">
        <v>1271</v>
      </c>
      <c r="V218" s="28" t="s">
        <v>1271</v>
      </c>
      <c r="W218" s="28" t="s">
        <v>1271</v>
      </c>
      <c r="X218" s="28" t="s">
        <v>1271</v>
      </c>
      <c r="Y218" s="28" t="s">
        <v>1272</v>
      </c>
      <c r="Z218" s="28" t="s">
        <v>1272</v>
      </c>
      <c r="AA218" s="28" t="s">
        <v>1272</v>
      </c>
      <c r="AB218" s="28" t="s">
        <v>1272</v>
      </c>
      <c r="AC218" s="28" t="s">
        <v>1272</v>
      </c>
      <c r="AD218" s="28" t="s">
        <v>1272</v>
      </c>
      <c r="AE218" s="28" t="s">
        <v>1272</v>
      </c>
      <c r="AF218" s="28" t="s">
        <v>1272</v>
      </c>
      <c r="AG218" s="28" t="s">
        <v>1272</v>
      </c>
      <c r="AH218" s="28" t="s">
        <v>1272</v>
      </c>
      <c r="AI218" s="28" t="s">
        <v>1272</v>
      </c>
      <c r="AJ218" s="28" t="s">
        <v>1271</v>
      </c>
    </row>
    <row r="219" spans="1:36">
      <c r="A219" s="29" t="s">
        <v>1122</v>
      </c>
      <c r="B219" s="28" t="s">
        <v>1272</v>
      </c>
      <c r="C219" s="28" t="s">
        <v>1272</v>
      </c>
      <c r="D219" s="28" t="s">
        <v>1272</v>
      </c>
      <c r="E219" s="28" t="s">
        <v>1272</v>
      </c>
      <c r="F219" s="28" t="s">
        <v>1271</v>
      </c>
      <c r="G219" s="28" t="s">
        <v>1271</v>
      </c>
      <c r="H219" s="28" t="s">
        <v>1271</v>
      </c>
      <c r="I219" s="28" t="s">
        <v>1271</v>
      </c>
      <c r="J219" s="28" t="s">
        <v>1271</v>
      </c>
      <c r="K219" s="28" t="s">
        <v>1271</v>
      </c>
      <c r="L219" s="28" t="s">
        <v>1271</v>
      </c>
      <c r="M219" s="28" t="s">
        <v>1271</v>
      </c>
      <c r="N219" s="28" t="s">
        <v>1271</v>
      </c>
      <c r="O219" s="28" t="s">
        <v>1271</v>
      </c>
      <c r="P219" s="28" t="s">
        <v>1271</v>
      </c>
      <c r="Q219" s="28" t="s">
        <v>1271</v>
      </c>
      <c r="R219" s="28" t="s">
        <v>1271</v>
      </c>
      <c r="S219" s="28" t="s">
        <v>1271</v>
      </c>
      <c r="T219" s="28" t="s">
        <v>1271</v>
      </c>
      <c r="U219" s="28" t="s">
        <v>1271</v>
      </c>
      <c r="V219" s="28" t="s">
        <v>1271</v>
      </c>
      <c r="W219" s="28" t="s">
        <v>1271</v>
      </c>
      <c r="X219" s="28" t="s">
        <v>1271</v>
      </c>
      <c r="Y219" s="28" t="s">
        <v>1271</v>
      </c>
      <c r="Z219" s="28" t="s">
        <v>1271</v>
      </c>
      <c r="AA219" s="28" t="s">
        <v>1271</v>
      </c>
      <c r="AB219" s="28" t="s">
        <v>1271</v>
      </c>
      <c r="AC219" s="28" t="s">
        <v>1271</v>
      </c>
      <c r="AD219" s="28" t="s">
        <v>1271</v>
      </c>
      <c r="AE219" s="28" t="s">
        <v>1271</v>
      </c>
      <c r="AF219" s="28" t="s">
        <v>1271</v>
      </c>
      <c r="AG219" s="28" t="s">
        <v>1272</v>
      </c>
      <c r="AH219" s="28" t="s">
        <v>1272</v>
      </c>
      <c r="AI219" s="28" t="s">
        <v>1272</v>
      </c>
      <c r="AJ219" s="28" t="s">
        <v>1272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1EDC-1902-5048-A4B3-15779D4A47F9}">
  <sheetPr codeName="Sheet16"/>
  <dimension ref="A1:E175"/>
  <sheetViews>
    <sheetView zoomScale="130" zoomScaleNormal="130" workbookViewId="0">
      <selection activeCell="C2" sqref="C2:C175"/>
    </sheetView>
  </sheetViews>
  <sheetFormatPr baseColWidth="10" defaultRowHeight="15"/>
  <cols>
    <col min="3" max="3" width="17.5" bestFit="1" customWidth="1"/>
  </cols>
  <sheetData>
    <row r="1" spans="1:5">
      <c r="A1" t="s">
        <v>648</v>
      </c>
    </row>
    <row r="2" spans="1:5">
      <c r="A2" t="s">
        <v>1002</v>
      </c>
      <c r="B2" t="s">
        <v>1537</v>
      </c>
      <c r="C2" t="s">
        <v>1538</v>
      </c>
      <c r="D2">
        <v>0.65</v>
      </c>
      <c r="E2" t="s">
        <v>1539</v>
      </c>
    </row>
    <row r="3" spans="1:5">
      <c r="A3" t="s">
        <v>586</v>
      </c>
      <c r="B3" t="s">
        <v>1540</v>
      </c>
      <c r="C3" t="s">
        <v>1541</v>
      </c>
      <c r="D3">
        <v>0.53</v>
      </c>
      <c r="E3" t="s">
        <v>1535</v>
      </c>
    </row>
    <row r="4" spans="1:5">
      <c r="A4" t="s">
        <v>1004</v>
      </c>
      <c r="B4" t="s">
        <v>1542</v>
      </c>
      <c r="C4" t="s">
        <v>1543</v>
      </c>
      <c r="D4">
        <v>0.21</v>
      </c>
      <c r="E4" t="s">
        <v>1544</v>
      </c>
    </row>
    <row r="5" spans="1:5">
      <c r="A5" t="s">
        <v>1006</v>
      </c>
      <c r="B5" t="s">
        <v>1545</v>
      </c>
      <c r="C5" t="s">
        <v>1546</v>
      </c>
      <c r="D5">
        <v>0.36</v>
      </c>
      <c r="E5" t="s">
        <v>1547</v>
      </c>
    </row>
    <row r="6" spans="1:5">
      <c r="A6" t="s">
        <v>365</v>
      </c>
      <c r="B6" t="s">
        <v>1548</v>
      </c>
      <c r="C6" t="s">
        <v>1549</v>
      </c>
      <c r="D6">
        <v>0.93</v>
      </c>
      <c r="E6" t="s">
        <v>1550</v>
      </c>
    </row>
    <row r="7" spans="1:5">
      <c r="A7" t="s">
        <v>1003</v>
      </c>
      <c r="B7" t="s">
        <v>1551</v>
      </c>
      <c r="C7" t="s">
        <v>1552</v>
      </c>
      <c r="D7">
        <v>1.08</v>
      </c>
      <c r="E7" t="s">
        <v>1553</v>
      </c>
    </row>
    <row r="8" spans="1:5">
      <c r="A8" t="s">
        <v>1009</v>
      </c>
      <c r="B8" t="s">
        <v>1554</v>
      </c>
      <c r="C8" t="s">
        <v>1555</v>
      </c>
      <c r="D8">
        <v>0.9</v>
      </c>
      <c r="E8" t="s">
        <v>1556</v>
      </c>
    </row>
    <row r="9" spans="1:5">
      <c r="A9" t="s">
        <v>1011</v>
      </c>
      <c r="B9" t="s">
        <v>1557</v>
      </c>
      <c r="C9" t="s">
        <v>1558</v>
      </c>
      <c r="D9">
        <v>0.93</v>
      </c>
      <c r="E9" t="s">
        <v>1559</v>
      </c>
    </row>
    <row r="10" spans="1:5">
      <c r="A10" t="s">
        <v>1005</v>
      </c>
      <c r="B10" t="s">
        <v>1560</v>
      </c>
      <c r="C10" t="s">
        <v>1561</v>
      </c>
      <c r="D10">
        <v>0.38</v>
      </c>
      <c r="E10" t="s">
        <v>1562</v>
      </c>
    </row>
    <row r="11" spans="1:5">
      <c r="A11" t="s">
        <v>1170</v>
      </c>
      <c r="B11" t="s">
        <v>1563</v>
      </c>
      <c r="C11" t="s">
        <v>1564</v>
      </c>
      <c r="D11">
        <v>0.47</v>
      </c>
      <c r="E11" t="s">
        <v>1565</v>
      </c>
    </row>
    <row r="12" spans="1:5">
      <c r="A12" t="s">
        <v>1014</v>
      </c>
      <c r="B12" t="s">
        <v>1566</v>
      </c>
      <c r="C12" t="s">
        <v>1567</v>
      </c>
      <c r="D12">
        <v>0.34</v>
      </c>
      <c r="E12" t="s">
        <v>1568</v>
      </c>
    </row>
    <row r="13" spans="1:5">
      <c r="A13" t="s">
        <v>1007</v>
      </c>
      <c r="B13" t="s">
        <v>1569</v>
      </c>
      <c r="C13" t="s">
        <v>1570</v>
      </c>
      <c r="D13">
        <v>0.17</v>
      </c>
      <c r="E13" t="s">
        <v>1571</v>
      </c>
    </row>
    <row r="14" spans="1:5">
      <c r="A14" t="s">
        <v>1172</v>
      </c>
      <c r="B14" t="s">
        <v>1572</v>
      </c>
      <c r="C14" t="s">
        <v>1573</v>
      </c>
      <c r="D14">
        <v>0.54</v>
      </c>
      <c r="E14" t="s">
        <v>1574</v>
      </c>
    </row>
    <row r="15" spans="1:5">
      <c r="A15" t="s">
        <v>1008</v>
      </c>
      <c r="B15" t="s">
        <v>1575</v>
      </c>
      <c r="C15" t="s">
        <v>1576</v>
      </c>
      <c r="D15">
        <v>0.55000000000000004</v>
      </c>
      <c r="E15" t="s">
        <v>1577</v>
      </c>
    </row>
    <row r="16" spans="1:5">
      <c r="A16" t="s">
        <v>1017</v>
      </c>
      <c r="B16" t="s">
        <v>1578</v>
      </c>
      <c r="C16" t="s">
        <v>1579</v>
      </c>
      <c r="D16">
        <v>0.95</v>
      </c>
      <c r="E16" t="s">
        <v>1580</v>
      </c>
    </row>
    <row r="17" spans="1:5">
      <c r="A17" t="s">
        <v>1010</v>
      </c>
      <c r="B17" t="s">
        <v>1581</v>
      </c>
      <c r="C17" t="s">
        <v>1582</v>
      </c>
      <c r="D17">
        <v>0.56999999999999995</v>
      </c>
      <c r="E17" t="s">
        <v>1583</v>
      </c>
    </row>
    <row r="18" spans="1:5">
      <c r="A18" t="s">
        <v>1012</v>
      </c>
      <c r="B18" t="s">
        <v>1584</v>
      </c>
      <c r="C18" t="s">
        <v>1585</v>
      </c>
      <c r="D18">
        <v>0.16</v>
      </c>
      <c r="E18" t="s">
        <v>1586</v>
      </c>
    </row>
    <row r="19" spans="1:5">
      <c r="A19" t="s">
        <v>322</v>
      </c>
      <c r="B19" t="s">
        <v>1587</v>
      </c>
      <c r="C19" t="s">
        <v>1588</v>
      </c>
      <c r="D19">
        <v>0.27</v>
      </c>
      <c r="E19" t="s">
        <v>1589</v>
      </c>
    </row>
    <row r="20" spans="1:5">
      <c r="A20" t="s">
        <v>1013</v>
      </c>
      <c r="B20" t="s">
        <v>1590</v>
      </c>
      <c r="C20" t="s">
        <v>1591</v>
      </c>
      <c r="D20">
        <v>0.53</v>
      </c>
      <c r="E20" t="s">
        <v>1535</v>
      </c>
    </row>
    <row r="21" spans="1:5">
      <c r="A21" t="s">
        <v>1023</v>
      </c>
      <c r="B21" t="s">
        <v>1592</v>
      </c>
      <c r="C21" t="s">
        <v>1593</v>
      </c>
      <c r="D21">
        <v>0.91</v>
      </c>
      <c r="E21" t="s">
        <v>1594</v>
      </c>
    </row>
    <row r="22" spans="1:5">
      <c r="A22" t="s">
        <v>1015</v>
      </c>
      <c r="B22" t="s">
        <v>1595</v>
      </c>
      <c r="C22" t="s">
        <v>1596</v>
      </c>
      <c r="D22">
        <v>0.67</v>
      </c>
      <c r="E22" t="s">
        <v>1597</v>
      </c>
    </row>
    <row r="23" spans="1:5">
      <c r="A23" t="s">
        <v>330</v>
      </c>
      <c r="B23" t="s">
        <v>1598</v>
      </c>
      <c r="C23" t="s">
        <v>1599</v>
      </c>
      <c r="D23">
        <v>0.95</v>
      </c>
      <c r="E23" t="s">
        <v>1600</v>
      </c>
    </row>
    <row r="24" spans="1:5">
      <c r="A24" t="s">
        <v>1025</v>
      </c>
      <c r="B24" t="s">
        <v>1601</v>
      </c>
      <c r="C24" t="s">
        <v>1602</v>
      </c>
      <c r="D24">
        <v>0.18</v>
      </c>
      <c r="E24" t="s">
        <v>1603</v>
      </c>
    </row>
    <row r="25" spans="1:5">
      <c r="A25" t="s">
        <v>1016</v>
      </c>
      <c r="B25" t="s">
        <v>1604</v>
      </c>
      <c r="C25" t="s">
        <v>1605</v>
      </c>
      <c r="D25">
        <v>0.68</v>
      </c>
      <c r="E25" t="s">
        <v>1606</v>
      </c>
    </row>
    <row r="26" spans="1:5">
      <c r="A26" t="s">
        <v>1018</v>
      </c>
      <c r="B26" t="s">
        <v>1607</v>
      </c>
      <c r="C26" t="s">
        <v>1608</v>
      </c>
      <c r="D26">
        <v>0.23</v>
      </c>
      <c r="E26" t="s">
        <v>1609</v>
      </c>
    </row>
    <row r="27" spans="1:5">
      <c r="A27" t="s">
        <v>1019</v>
      </c>
      <c r="B27" t="s">
        <v>1610</v>
      </c>
      <c r="C27" t="s">
        <v>1611</v>
      </c>
      <c r="D27">
        <v>0.39</v>
      </c>
      <c r="E27" t="s">
        <v>1612</v>
      </c>
    </row>
    <row r="28" spans="1:5">
      <c r="A28" t="s">
        <v>1030</v>
      </c>
      <c r="B28" t="s">
        <v>1613</v>
      </c>
      <c r="C28" t="s">
        <v>1614</v>
      </c>
      <c r="D28">
        <v>0.39</v>
      </c>
      <c r="E28" t="s">
        <v>1615</v>
      </c>
    </row>
    <row r="29" spans="1:5">
      <c r="A29" t="s">
        <v>1020</v>
      </c>
      <c r="B29" t="s">
        <v>1616</v>
      </c>
      <c r="C29" t="s">
        <v>1617</v>
      </c>
      <c r="D29">
        <v>0.52</v>
      </c>
      <c r="E29" t="s">
        <v>1484</v>
      </c>
    </row>
    <row r="30" spans="1:5">
      <c r="A30" t="s">
        <v>1021</v>
      </c>
      <c r="B30" t="s">
        <v>1618</v>
      </c>
      <c r="C30" t="s">
        <v>1619</v>
      </c>
      <c r="D30">
        <v>0.22</v>
      </c>
      <c r="E30" t="s">
        <v>1544</v>
      </c>
    </row>
    <row r="31" spans="1:5">
      <c r="A31" t="s">
        <v>1033</v>
      </c>
      <c r="B31" t="s">
        <v>1620</v>
      </c>
      <c r="C31" t="s">
        <v>1621</v>
      </c>
      <c r="D31">
        <v>0.96</v>
      </c>
      <c r="E31" t="s">
        <v>1622</v>
      </c>
    </row>
    <row r="32" spans="1:5">
      <c r="A32" t="s">
        <v>1034</v>
      </c>
      <c r="B32" t="s">
        <v>1623</v>
      </c>
      <c r="C32" t="s">
        <v>1624</v>
      </c>
      <c r="D32">
        <v>0.3</v>
      </c>
      <c r="E32" t="s">
        <v>1625</v>
      </c>
    </row>
    <row r="33" spans="1:5">
      <c r="A33" t="s">
        <v>1024</v>
      </c>
      <c r="B33" t="s">
        <v>1626</v>
      </c>
      <c r="C33" t="s">
        <v>1627</v>
      </c>
      <c r="D33">
        <v>0.15</v>
      </c>
      <c r="E33" t="s">
        <v>1628</v>
      </c>
    </row>
    <row r="34" spans="1:5">
      <c r="A34" t="s">
        <v>1037</v>
      </c>
      <c r="B34" t="s">
        <v>1629</v>
      </c>
      <c r="C34" t="s">
        <v>1630</v>
      </c>
      <c r="D34">
        <v>0.8</v>
      </c>
      <c r="E34" t="s">
        <v>1631</v>
      </c>
    </row>
    <row r="35" spans="1:5">
      <c r="A35" t="s">
        <v>147</v>
      </c>
      <c r="B35" t="s">
        <v>1632</v>
      </c>
      <c r="C35" t="s">
        <v>1633</v>
      </c>
      <c r="D35">
        <v>0.51</v>
      </c>
      <c r="E35" t="s">
        <v>1634</v>
      </c>
    </row>
    <row r="36" spans="1:5">
      <c r="A36" t="s">
        <v>421</v>
      </c>
      <c r="B36" t="s">
        <v>1635</v>
      </c>
      <c r="C36" t="s">
        <v>1636</v>
      </c>
      <c r="D36">
        <v>0.75</v>
      </c>
      <c r="E36" t="s">
        <v>1637</v>
      </c>
    </row>
    <row r="37" spans="1:5">
      <c r="A37" t="s">
        <v>1026</v>
      </c>
      <c r="B37" t="s">
        <v>1638</v>
      </c>
      <c r="C37" t="s">
        <v>1639</v>
      </c>
      <c r="D37">
        <v>0.34</v>
      </c>
      <c r="E37" t="s">
        <v>1457</v>
      </c>
    </row>
    <row r="38" spans="1:5">
      <c r="A38" t="s">
        <v>1040</v>
      </c>
      <c r="B38" t="s">
        <v>1640</v>
      </c>
      <c r="C38" t="s">
        <v>1641</v>
      </c>
      <c r="D38">
        <v>0.15</v>
      </c>
      <c r="E38" t="s">
        <v>1628</v>
      </c>
    </row>
    <row r="39" spans="1:5">
      <c r="A39" t="s">
        <v>1042</v>
      </c>
      <c r="B39" t="s">
        <v>1642</v>
      </c>
      <c r="C39" t="s">
        <v>1643</v>
      </c>
      <c r="D39">
        <v>0.14000000000000001</v>
      </c>
      <c r="E39" t="s">
        <v>1644</v>
      </c>
    </row>
    <row r="40" spans="1:5">
      <c r="A40" t="s">
        <v>1028</v>
      </c>
      <c r="B40" t="s">
        <v>1645</v>
      </c>
      <c r="C40" t="s">
        <v>1646</v>
      </c>
      <c r="D40">
        <v>0.75</v>
      </c>
      <c r="E40" t="s">
        <v>1647</v>
      </c>
    </row>
    <row r="41" spans="1:5">
      <c r="A41" t="s">
        <v>1029</v>
      </c>
      <c r="B41" t="s">
        <v>1648</v>
      </c>
      <c r="C41" t="s">
        <v>1649</v>
      </c>
      <c r="D41">
        <v>0.19</v>
      </c>
      <c r="E41" t="s">
        <v>1650</v>
      </c>
    </row>
    <row r="42" spans="1:5">
      <c r="A42" t="s">
        <v>1046</v>
      </c>
      <c r="B42" t="s">
        <v>1651</v>
      </c>
      <c r="C42" t="s">
        <v>1652</v>
      </c>
      <c r="D42">
        <v>0.56999999999999995</v>
      </c>
      <c r="E42" t="s">
        <v>1653</v>
      </c>
    </row>
    <row r="43" spans="1:5">
      <c r="A43" t="s">
        <v>449</v>
      </c>
      <c r="B43" t="s">
        <v>1654</v>
      </c>
      <c r="C43" t="s">
        <v>1655</v>
      </c>
      <c r="D43">
        <v>1.17</v>
      </c>
      <c r="E43" t="s">
        <v>1656</v>
      </c>
    </row>
    <row r="44" spans="1:5">
      <c r="A44" t="s">
        <v>1048</v>
      </c>
      <c r="B44" t="s">
        <v>1657</v>
      </c>
      <c r="C44" t="s">
        <v>1658</v>
      </c>
      <c r="D44">
        <v>0.57999999999999996</v>
      </c>
      <c r="E44" t="s">
        <v>1659</v>
      </c>
    </row>
    <row r="45" spans="1:5">
      <c r="A45" t="s">
        <v>1660</v>
      </c>
      <c r="B45" t="s">
        <v>1661</v>
      </c>
      <c r="C45" t="s">
        <v>1662</v>
      </c>
      <c r="D45">
        <v>0.67</v>
      </c>
      <c r="E45" t="s">
        <v>1663</v>
      </c>
    </row>
    <row r="46" spans="1:5">
      <c r="A46" t="s">
        <v>1050</v>
      </c>
      <c r="B46" t="s">
        <v>1664</v>
      </c>
      <c r="C46" t="s">
        <v>1665</v>
      </c>
      <c r="D46">
        <v>0.88</v>
      </c>
      <c r="E46" t="s">
        <v>1516</v>
      </c>
    </row>
    <row r="47" spans="1:5">
      <c r="A47" t="s">
        <v>1051</v>
      </c>
      <c r="B47" t="s">
        <v>1666</v>
      </c>
      <c r="C47" t="s">
        <v>1667</v>
      </c>
      <c r="D47">
        <v>0.14000000000000001</v>
      </c>
      <c r="E47" t="s">
        <v>1644</v>
      </c>
    </row>
    <row r="48" spans="1:5">
      <c r="A48" t="s">
        <v>1032</v>
      </c>
      <c r="B48" t="s">
        <v>1668</v>
      </c>
      <c r="C48" t="s">
        <v>1669</v>
      </c>
      <c r="D48">
        <v>0.56999999999999995</v>
      </c>
      <c r="E48" t="s">
        <v>1670</v>
      </c>
    </row>
    <row r="49" spans="1:5">
      <c r="A49" t="s">
        <v>559</v>
      </c>
      <c r="B49" t="s">
        <v>1668</v>
      </c>
      <c r="C49" t="s">
        <v>1671</v>
      </c>
      <c r="D49">
        <v>0.76</v>
      </c>
      <c r="E49" t="s">
        <v>1672</v>
      </c>
    </row>
    <row r="50" spans="1:5">
      <c r="A50" t="s">
        <v>398</v>
      </c>
      <c r="B50" t="s">
        <v>1673</v>
      </c>
      <c r="C50" t="s">
        <v>1674</v>
      </c>
      <c r="D50">
        <v>0.39</v>
      </c>
      <c r="E50" t="s">
        <v>1615</v>
      </c>
    </row>
    <row r="51" spans="1:5">
      <c r="A51" t="s">
        <v>1035</v>
      </c>
      <c r="B51" t="s">
        <v>1675</v>
      </c>
      <c r="C51" t="s">
        <v>1676</v>
      </c>
      <c r="D51">
        <v>0.56999999999999995</v>
      </c>
      <c r="E51" t="s">
        <v>1677</v>
      </c>
    </row>
    <row r="52" spans="1:5">
      <c r="A52" t="s">
        <v>1058</v>
      </c>
      <c r="B52" t="s">
        <v>1678</v>
      </c>
      <c r="C52" t="s">
        <v>1679</v>
      </c>
      <c r="D52">
        <v>0.22</v>
      </c>
      <c r="E52" t="s">
        <v>1680</v>
      </c>
    </row>
    <row r="53" spans="1:5">
      <c r="A53" t="s">
        <v>1061</v>
      </c>
      <c r="B53" t="s">
        <v>1681</v>
      </c>
      <c r="C53" t="s">
        <v>1682</v>
      </c>
      <c r="D53">
        <v>0.56999999999999995</v>
      </c>
      <c r="E53" t="s">
        <v>1442</v>
      </c>
    </row>
    <row r="54" spans="1:5">
      <c r="A54" t="s">
        <v>1201</v>
      </c>
      <c r="B54" t="s">
        <v>1683</v>
      </c>
      <c r="C54" t="s">
        <v>1684</v>
      </c>
      <c r="D54">
        <v>0.47</v>
      </c>
      <c r="E54" t="s">
        <v>1685</v>
      </c>
    </row>
    <row r="55" spans="1:5">
      <c r="A55" t="s">
        <v>428</v>
      </c>
      <c r="B55" t="s">
        <v>1686</v>
      </c>
      <c r="C55" t="s">
        <v>1687</v>
      </c>
      <c r="D55">
        <v>0.14000000000000001</v>
      </c>
      <c r="E55" t="s">
        <v>1628</v>
      </c>
    </row>
    <row r="56" spans="1:5">
      <c r="A56" t="s">
        <v>1064</v>
      </c>
      <c r="B56" t="s">
        <v>1688</v>
      </c>
      <c r="C56" t="s">
        <v>1689</v>
      </c>
      <c r="D56">
        <v>0.33</v>
      </c>
      <c r="E56" t="s">
        <v>1690</v>
      </c>
    </row>
    <row r="57" spans="1:5">
      <c r="A57" t="s">
        <v>1065</v>
      </c>
      <c r="B57" t="s">
        <v>1691</v>
      </c>
      <c r="C57" t="s">
        <v>1692</v>
      </c>
      <c r="D57">
        <v>0.81</v>
      </c>
      <c r="E57" t="s">
        <v>1693</v>
      </c>
    </row>
    <row r="58" spans="1:5">
      <c r="A58" t="s">
        <v>1067</v>
      </c>
      <c r="B58" t="s">
        <v>1694</v>
      </c>
      <c r="C58" t="s">
        <v>1695</v>
      </c>
      <c r="D58">
        <v>0.99</v>
      </c>
      <c r="E58" t="s">
        <v>1472</v>
      </c>
    </row>
    <row r="59" spans="1:5">
      <c r="A59" t="s">
        <v>1038</v>
      </c>
      <c r="B59" t="s">
        <v>1696</v>
      </c>
      <c r="C59" t="s">
        <v>1697</v>
      </c>
      <c r="D59">
        <v>0.24</v>
      </c>
      <c r="E59" t="s">
        <v>1698</v>
      </c>
    </row>
    <row r="60" spans="1:5">
      <c r="A60" t="s">
        <v>346</v>
      </c>
      <c r="B60" t="s">
        <v>1699</v>
      </c>
      <c r="C60" t="s">
        <v>1700</v>
      </c>
      <c r="D60">
        <v>0.16</v>
      </c>
      <c r="E60" t="s">
        <v>1701</v>
      </c>
    </row>
    <row r="61" spans="1:5">
      <c r="A61" t="s">
        <v>494</v>
      </c>
      <c r="B61" t="s">
        <v>1702</v>
      </c>
      <c r="C61" t="s">
        <v>1703</v>
      </c>
      <c r="D61">
        <v>0.59</v>
      </c>
      <c r="E61" t="s">
        <v>1704</v>
      </c>
    </row>
    <row r="62" spans="1:5">
      <c r="A62" t="s">
        <v>1071</v>
      </c>
      <c r="B62" t="s">
        <v>1705</v>
      </c>
      <c r="C62" t="s">
        <v>1706</v>
      </c>
      <c r="D62">
        <v>1.01</v>
      </c>
      <c r="E62" t="s">
        <v>1707</v>
      </c>
    </row>
    <row r="63" spans="1:5">
      <c r="A63" t="s">
        <v>1039</v>
      </c>
      <c r="B63" t="s">
        <v>1708</v>
      </c>
      <c r="C63" t="s">
        <v>1709</v>
      </c>
      <c r="D63">
        <v>0.23</v>
      </c>
      <c r="E63" t="s">
        <v>1710</v>
      </c>
    </row>
    <row r="64" spans="1:5">
      <c r="A64" t="s">
        <v>1073</v>
      </c>
      <c r="B64" t="s">
        <v>1711</v>
      </c>
      <c r="C64" t="s">
        <v>1712</v>
      </c>
      <c r="D64">
        <v>0.69</v>
      </c>
      <c r="E64" t="s">
        <v>1713</v>
      </c>
    </row>
    <row r="65" spans="1:5">
      <c r="A65" t="s">
        <v>1075</v>
      </c>
      <c r="B65" t="s">
        <v>1714</v>
      </c>
      <c r="C65" t="s">
        <v>1715</v>
      </c>
      <c r="D65">
        <v>0.46</v>
      </c>
      <c r="E65" t="s">
        <v>1716</v>
      </c>
    </row>
    <row r="66" spans="1:5">
      <c r="A66" t="s">
        <v>1041</v>
      </c>
      <c r="B66" t="s">
        <v>1717</v>
      </c>
      <c r="C66" t="s">
        <v>1718</v>
      </c>
      <c r="D66">
        <v>0.57999999999999996</v>
      </c>
      <c r="E66" t="s">
        <v>1704</v>
      </c>
    </row>
    <row r="67" spans="1:5">
      <c r="A67" t="s">
        <v>1043</v>
      </c>
      <c r="B67" t="s">
        <v>1719</v>
      </c>
      <c r="C67" t="s">
        <v>1720</v>
      </c>
      <c r="D67">
        <v>0.18</v>
      </c>
      <c r="E67" t="s">
        <v>1721</v>
      </c>
    </row>
    <row r="68" spans="1:5">
      <c r="A68" t="s">
        <v>1044</v>
      </c>
      <c r="B68" t="s">
        <v>1722</v>
      </c>
      <c r="C68" t="s">
        <v>1723</v>
      </c>
      <c r="D68">
        <v>0.34</v>
      </c>
      <c r="E68" t="s">
        <v>1724</v>
      </c>
    </row>
    <row r="69" spans="1:5">
      <c r="A69" t="s">
        <v>1045</v>
      </c>
      <c r="B69" t="s">
        <v>1725</v>
      </c>
      <c r="C69" t="s">
        <v>1726</v>
      </c>
      <c r="D69">
        <v>0.47</v>
      </c>
      <c r="E69" t="s">
        <v>1727</v>
      </c>
    </row>
    <row r="70" spans="1:5">
      <c r="A70" t="s">
        <v>1047</v>
      </c>
      <c r="B70" t="s">
        <v>1728</v>
      </c>
      <c r="C70" t="s">
        <v>1729</v>
      </c>
      <c r="D70">
        <v>0.2</v>
      </c>
      <c r="E70" t="s">
        <v>1730</v>
      </c>
    </row>
    <row r="71" spans="1:5">
      <c r="A71" t="s">
        <v>567</v>
      </c>
      <c r="B71" t="s">
        <v>1731</v>
      </c>
      <c r="C71" t="s">
        <v>1732</v>
      </c>
      <c r="D71">
        <v>0.62</v>
      </c>
      <c r="E71" t="s">
        <v>1733</v>
      </c>
    </row>
    <row r="72" spans="1:5">
      <c r="A72" t="s">
        <v>1084</v>
      </c>
      <c r="B72" t="s">
        <v>1734</v>
      </c>
      <c r="C72" t="s">
        <v>1735</v>
      </c>
      <c r="D72">
        <v>0.52</v>
      </c>
      <c r="E72" t="s">
        <v>1495</v>
      </c>
    </row>
    <row r="73" spans="1:5">
      <c r="A73" t="s">
        <v>1085</v>
      </c>
      <c r="B73" t="s">
        <v>1736</v>
      </c>
      <c r="C73" t="s">
        <v>1737</v>
      </c>
      <c r="D73">
        <v>0.82</v>
      </c>
      <c r="E73" t="s">
        <v>1738</v>
      </c>
    </row>
    <row r="74" spans="1:5">
      <c r="A74" t="s">
        <v>245</v>
      </c>
      <c r="B74" t="s">
        <v>1739</v>
      </c>
      <c r="C74" t="s">
        <v>1740</v>
      </c>
      <c r="D74">
        <v>0.24</v>
      </c>
      <c r="E74" t="s">
        <v>1741</v>
      </c>
    </row>
    <row r="75" spans="1:5">
      <c r="A75" t="s">
        <v>602</v>
      </c>
      <c r="B75" t="s">
        <v>1742</v>
      </c>
      <c r="C75" t="s">
        <v>1743</v>
      </c>
      <c r="D75">
        <v>0.27</v>
      </c>
      <c r="E75" t="s">
        <v>1744</v>
      </c>
    </row>
    <row r="76" spans="1:5">
      <c r="A76" t="s">
        <v>443</v>
      </c>
      <c r="B76" t="s">
        <v>1745</v>
      </c>
      <c r="C76" t="s">
        <v>1746</v>
      </c>
      <c r="D76">
        <v>1.34</v>
      </c>
      <c r="E76" t="s">
        <v>1747</v>
      </c>
    </row>
    <row r="77" spans="1:5">
      <c r="A77" t="s">
        <v>1089</v>
      </c>
      <c r="B77" t="s">
        <v>1748</v>
      </c>
      <c r="C77" t="s">
        <v>1749</v>
      </c>
      <c r="D77">
        <v>0.38</v>
      </c>
      <c r="E77" t="s">
        <v>1562</v>
      </c>
    </row>
    <row r="78" spans="1:5">
      <c r="A78" t="s">
        <v>1091</v>
      </c>
      <c r="B78" t="s">
        <v>1750</v>
      </c>
      <c r="C78" t="s">
        <v>1751</v>
      </c>
      <c r="D78">
        <v>0.6</v>
      </c>
      <c r="E78" t="s">
        <v>1752</v>
      </c>
    </row>
    <row r="79" spans="1:5">
      <c r="A79" t="s">
        <v>1093</v>
      </c>
      <c r="B79" t="s">
        <v>1753</v>
      </c>
      <c r="C79" t="s">
        <v>1754</v>
      </c>
      <c r="D79">
        <v>0.7</v>
      </c>
      <c r="E79" t="s">
        <v>1755</v>
      </c>
    </row>
    <row r="80" spans="1:5">
      <c r="A80" t="s">
        <v>1095</v>
      </c>
      <c r="B80" t="s">
        <v>1756</v>
      </c>
      <c r="C80" t="s">
        <v>1757</v>
      </c>
      <c r="D80">
        <v>0.78</v>
      </c>
      <c r="E80" t="s">
        <v>1758</v>
      </c>
    </row>
    <row r="81" spans="1:5">
      <c r="A81" t="s">
        <v>1052</v>
      </c>
      <c r="B81" t="s">
        <v>1759</v>
      </c>
      <c r="C81" t="s">
        <v>1760</v>
      </c>
      <c r="D81">
        <v>0.56999999999999995</v>
      </c>
      <c r="E81" t="s">
        <v>1670</v>
      </c>
    </row>
    <row r="82" spans="1:5">
      <c r="A82" t="s">
        <v>1098</v>
      </c>
      <c r="B82" t="s">
        <v>1761</v>
      </c>
      <c r="C82" t="s">
        <v>1762</v>
      </c>
      <c r="D82">
        <v>0.97</v>
      </c>
      <c r="E82" t="s">
        <v>1622</v>
      </c>
    </row>
    <row r="83" spans="1:5">
      <c r="A83" t="s">
        <v>1054</v>
      </c>
      <c r="B83" t="s">
        <v>1763</v>
      </c>
      <c r="C83" t="s">
        <v>1764</v>
      </c>
      <c r="D83">
        <v>0.7</v>
      </c>
      <c r="E83" t="s">
        <v>1765</v>
      </c>
    </row>
    <row r="84" spans="1:5">
      <c r="A84" t="s">
        <v>1055</v>
      </c>
      <c r="B84" t="s">
        <v>1766</v>
      </c>
      <c r="C84" t="s">
        <v>1767</v>
      </c>
      <c r="D84">
        <v>0.26</v>
      </c>
      <c r="E84" t="s">
        <v>1768</v>
      </c>
    </row>
    <row r="85" spans="1:5">
      <c r="A85" t="s">
        <v>382</v>
      </c>
      <c r="B85" t="s">
        <v>1769</v>
      </c>
      <c r="C85" t="s">
        <v>1770</v>
      </c>
      <c r="D85">
        <v>0.32</v>
      </c>
      <c r="E85" t="s">
        <v>1771</v>
      </c>
    </row>
    <row r="86" spans="1:5">
      <c r="A86" t="s">
        <v>1102</v>
      </c>
      <c r="B86" t="s">
        <v>1772</v>
      </c>
      <c r="C86" t="s">
        <v>1773</v>
      </c>
      <c r="D86">
        <v>0.96</v>
      </c>
      <c r="E86" t="s">
        <v>1774</v>
      </c>
    </row>
    <row r="87" spans="1:5">
      <c r="A87" t="s">
        <v>1103</v>
      </c>
      <c r="B87" t="s">
        <v>1775</v>
      </c>
      <c r="C87" t="s">
        <v>1776</v>
      </c>
      <c r="D87">
        <v>0.73</v>
      </c>
      <c r="E87" t="s">
        <v>1777</v>
      </c>
    </row>
    <row r="88" spans="1:5">
      <c r="A88" t="s">
        <v>1182</v>
      </c>
      <c r="B88" t="s">
        <v>1778</v>
      </c>
      <c r="C88" t="s">
        <v>1779</v>
      </c>
      <c r="D88">
        <v>0.41</v>
      </c>
      <c r="E88" t="s">
        <v>1780</v>
      </c>
    </row>
    <row r="89" spans="1:5">
      <c r="A89" t="s">
        <v>1106</v>
      </c>
      <c r="B89" t="s">
        <v>1781</v>
      </c>
      <c r="C89" t="s">
        <v>1782</v>
      </c>
      <c r="D89">
        <v>0.33</v>
      </c>
      <c r="E89" t="s">
        <v>1698</v>
      </c>
    </row>
    <row r="90" spans="1:5">
      <c r="A90" t="s">
        <v>1107</v>
      </c>
      <c r="B90" t="s">
        <v>1536</v>
      </c>
      <c r="C90" t="s">
        <v>1783</v>
      </c>
      <c r="D90">
        <v>0.19</v>
      </c>
      <c r="E90" t="s">
        <v>1650</v>
      </c>
    </row>
    <row r="91" spans="1:5">
      <c r="A91" t="s">
        <v>1109</v>
      </c>
      <c r="B91" t="s">
        <v>1784</v>
      </c>
      <c r="C91" t="s">
        <v>1785</v>
      </c>
      <c r="D91">
        <v>0.52</v>
      </c>
      <c r="E91" t="s">
        <v>1495</v>
      </c>
    </row>
    <row r="92" spans="1:5">
      <c r="A92" t="s">
        <v>1057</v>
      </c>
      <c r="B92" t="s">
        <v>1786</v>
      </c>
      <c r="C92" t="s">
        <v>1787</v>
      </c>
      <c r="D92">
        <v>0.94</v>
      </c>
      <c r="E92" t="s">
        <v>1788</v>
      </c>
    </row>
    <row r="93" spans="1:5">
      <c r="A93" t="s">
        <v>1059</v>
      </c>
      <c r="B93" t="s">
        <v>1789</v>
      </c>
      <c r="C93" t="s">
        <v>1790</v>
      </c>
      <c r="D93">
        <v>0.68</v>
      </c>
      <c r="E93" t="s">
        <v>1791</v>
      </c>
    </row>
    <row r="94" spans="1:5">
      <c r="A94" t="s">
        <v>1113</v>
      </c>
      <c r="B94" t="s">
        <v>1792</v>
      </c>
      <c r="C94" t="s">
        <v>1793</v>
      </c>
      <c r="D94">
        <v>0.37</v>
      </c>
      <c r="E94" t="s">
        <v>1794</v>
      </c>
    </row>
    <row r="95" spans="1:5">
      <c r="A95" t="s">
        <v>1117</v>
      </c>
      <c r="B95" t="s">
        <v>1795</v>
      </c>
      <c r="C95" t="s">
        <v>1796</v>
      </c>
      <c r="D95">
        <v>0.56999999999999995</v>
      </c>
      <c r="E95" t="s">
        <v>1442</v>
      </c>
    </row>
    <row r="96" spans="1:5">
      <c r="A96" t="s">
        <v>1119</v>
      </c>
      <c r="B96" t="s">
        <v>1797</v>
      </c>
      <c r="C96" t="s">
        <v>1798</v>
      </c>
      <c r="D96">
        <v>0.49</v>
      </c>
      <c r="E96" t="s">
        <v>1799</v>
      </c>
    </row>
    <row r="97" spans="1:5">
      <c r="A97" t="s">
        <v>1062</v>
      </c>
      <c r="B97" t="s">
        <v>1800</v>
      </c>
      <c r="C97" t="s">
        <v>1801</v>
      </c>
      <c r="D97">
        <v>0.18</v>
      </c>
      <c r="E97" t="s">
        <v>1721</v>
      </c>
    </row>
    <row r="98" spans="1:5">
      <c r="A98" t="s">
        <v>1063</v>
      </c>
      <c r="B98" t="s">
        <v>1802</v>
      </c>
      <c r="C98" t="s">
        <v>1803</v>
      </c>
      <c r="D98">
        <v>0.23</v>
      </c>
      <c r="E98" t="s">
        <v>1609</v>
      </c>
    </row>
    <row r="99" spans="1:5">
      <c r="A99" t="s">
        <v>214</v>
      </c>
      <c r="B99" t="s">
        <v>1804</v>
      </c>
      <c r="C99" t="s">
        <v>1805</v>
      </c>
      <c r="D99">
        <v>0.38</v>
      </c>
      <c r="E99" t="s">
        <v>1562</v>
      </c>
    </row>
    <row r="100" spans="1:5">
      <c r="A100" t="s">
        <v>1124</v>
      </c>
      <c r="B100" t="s">
        <v>1806</v>
      </c>
      <c r="C100" t="s">
        <v>1807</v>
      </c>
      <c r="D100">
        <v>0.81</v>
      </c>
      <c r="E100" t="s">
        <v>1808</v>
      </c>
    </row>
    <row r="101" spans="1:5">
      <c r="A101" t="s">
        <v>1066</v>
      </c>
      <c r="B101" t="s">
        <v>1809</v>
      </c>
      <c r="C101" t="s">
        <v>1803</v>
      </c>
      <c r="D101">
        <v>0.16</v>
      </c>
      <c r="E101" t="s">
        <v>1701</v>
      </c>
    </row>
    <row r="102" spans="1:5">
      <c r="A102" t="s">
        <v>1125</v>
      </c>
      <c r="B102" t="s">
        <v>1810</v>
      </c>
      <c r="C102" t="s">
        <v>1811</v>
      </c>
      <c r="D102">
        <v>0.73</v>
      </c>
      <c r="E102" t="s">
        <v>1777</v>
      </c>
    </row>
    <row r="103" spans="1:5">
      <c r="A103" t="s">
        <v>1068</v>
      </c>
      <c r="B103" t="s">
        <v>1812</v>
      </c>
      <c r="C103" t="s">
        <v>1813</v>
      </c>
      <c r="D103">
        <v>0.22</v>
      </c>
      <c r="E103" t="s">
        <v>1814</v>
      </c>
    </row>
    <row r="104" spans="1:5">
      <c r="A104" t="s">
        <v>1069</v>
      </c>
      <c r="B104" t="s">
        <v>1815</v>
      </c>
      <c r="C104" t="s">
        <v>1816</v>
      </c>
      <c r="D104">
        <v>0.5</v>
      </c>
      <c r="E104" t="s">
        <v>1817</v>
      </c>
    </row>
    <row r="105" spans="1:5">
      <c r="A105" t="s">
        <v>537</v>
      </c>
      <c r="B105" t="s">
        <v>1818</v>
      </c>
      <c r="C105" t="s">
        <v>1819</v>
      </c>
      <c r="D105">
        <v>0.52</v>
      </c>
      <c r="E105" t="s">
        <v>1820</v>
      </c>
    </row>
    <row r="106" spans="1:5">
      <c r="A106" t="s">
        <v>1127</v>
      </c>
      <c r="B106" t="s">
        <v>1821</v>
      </c>
      <c r="C106" t="s">
        <v>1822</v>
      </c>
      <c r="D106">
        <v>0.9</v>
      </c>
      <c r="E106" t="s">
        <v>1823</v>
      </c>
    </row>
    <row r="107" spans="1:5">
      <c r="A107" t="s">
        <v>1070</v>
      </c>
      <c r="B107" t="s">
        <v>1824</v>
      </c>
      <c r="C107" t="s">
        <v>1825</v>
      </c>
      <c r="D107">
        <v>0.48</v>
      </c>
      <c r="E107" t="s">
        <v>1826</v>
      </c>
    </row>
    <row r="108" spans="1:5">
      <c r="A108" t="s">
        <v>307</v>
      </c>
      <c r="B108" t="s">
        <v>1827</v>
      </c>
      <c r="C108" t="s">
        <v>1828</v>
      </c>
      <c r="D108">
        <v>0.28999999999999998</v>
      </c>
      <c r="E108" t="s">
        <v>1829</v>
      </c>
    </row>
    <row r="109" spans="1:5">
      <c r="A109" t="s">
        <v>1128</v>
      </c>
      <c r="B109" t="s">
        <v>1830</v>
      </c>
      <c r="C109" t="s">
        <v>1831</v>
      </c>
      <c r="D109">
        <v>0.82</v>
      </c>
      <c r="E109" t="s">
        <v>1832</v>
      </c>
    </row>
    <row r="110" spans="1:5">
      <c r="A110" t="s">
        <v>1072</v>
      </c>
      <c r="B110" t="s">
        <v>1833</v>
      </c>
      <c r="C110" t="s">
        <v>1834</v>
      </c>
      <c r="D110">
        <v>0.47</v>
      </c>
      <c r="E110" t="s">
        <v>1835</v>
      </c>
    </row>
    <row r="111" spans="1:5">
      <c r="A111" t="s">
        <v>1074</v>
      </c>
      <c r="B111" t="s">
        <v>1836</v>
      </c>
      <c r="C111" t="s">
        <v>1837</v>
      </c>
      <c r="D111">
        <v>0.36</v>
      </c>
      <c r="E111" t="s">
        <v>1838</v>
      </c>
    </row>
    <row r="112" spans="1:5">
      <c r="A112" t="s">
        <v>1190</v>
      </c>
      <c r="B112" t="s">
        <v>1839</v>
      </c>
      <c r="C112" t="s">
        <v>1840</v>
      </c>
      <c r="D112">
        <v>0.33</v>
      </c>
      <c r="E112" t="s">
        <v>1698</v>
      </c>
    </row>
    <row r="113" spans="1:5">
      <c r="A113" t="s">
        <v>1076</v>
      </c>
      <c r="B113" t="s">
        <v>1841</v>
      </c>
      <c r="C113" t="s">
        <v>1842</v>
      </c>
      <c r="D113">
        <v>0.69</v>
      </c>
      <c r="E113" t="s">
        <v>1843</v>
      </c>
    </row>
    <row r="114" spans="1:5">
      <c r="A114" t="s">
        <v>1077</v>
      </c>
      <c r="B114" t="s">
        <v>1844</v>
      </c>
      <c r="C114" t="s">
        <v>1845</v>
      </c>
      <c r="D114">
        <v>0.35</v>
      </c>
      <c r="E114" t="s">
        <v>1457</v>
      </c>
    </row>
    <row r="115" spans="1:5">
      <c r="A115" t="s">
        <v>1129</v>
      </c>
      <c r="B115" t="s">
        <v>1846</v>
      </c>
      <c r="C115" t="s">
        <v>1847</v>
      </c>
      <c r="D115">
        <v>0.9</v>
      </c>
      <c r="E115" t="s">
        <v>1556</v>
      </c>
    </row>
    <row r="116" spans="1:5">
      <c r="A116" t="s">
        <v>1130</v>
      </c>
      <c r="B116" t="s">
        <v>1848</v>
      </c>
      <c r="C116" t="s">
        <v>1849</v>
      </c>
      <c r="D116">
        <v>0.87</v>
      </c>
      <c r="E116" t="s">
        <v>1850</v>
      </c>
    </row>
    <row r="117" spans="1:5">
      <c r="A117" t="s">
        <v>1078</v>
      </c>
      <c r="B117" t="s">
        <v>1851</v>
      </c>
      <c r="C117" t="s">
        <v>1852</v>
      </c>
      <c r="D117">
        <v>0.67</v>
      </c>
      <c r="E117" t="s">
        <v>1853</v>
      </c>
    </row>
    <row r="118" spans="1:5">
      <c r="A118" t="s">
        <v>1079</v>
      </c>
      <c r="B118" t="s">
        <v>1802</v>
      </c>
      <c r="C118" t="s">
        <v>1803</v>
      </c>
      <c r="D118">
        <v>0.25</v>
      </c>
      <c r="E118" t="s">
        <v>1854</v>
      </c>
    </row>
    <row r="119" spans="1:5">
      <c r="A119" t="s">
        <v>1080</v>
      </c>
      <c r="B119" t="s">
        <v>1855</v>
      </c>
      <c r="C119" t="s">
        <v>1856</v>
      </c>
      <c r="D119">
        <v>0.17</v>
      </c>
      <c r="E119" t="s">
        <v>1857</v>
      </c>
    </row>
    <row r="120" spans="1:5">
      <c r="A120" t="s">
        <v>1189</v>
      </c>
      <c r="B120" t="s">
        <v>1858</v>
      </c>
      <c r="C120" t="s">
        <v>1859</v>
      </c>
      <c r="D120">
        <v>0.72</v>
      </c>
      <c r="E120" t="s">
        <v>1860</v>
      </c>
    </row>
    <row r="121" spans="1:5">
      <c r="A121" t="s">
        <v>1131</v>
      </c>
      <c r="B121" t="s">
        <v>1861</v>
      </c>
      <c r="C121" t="s">
        <v>1862</v>
      </c>
      <c r="D121">
        <v>0.95</v>
      </c>
      <c r="E121" t="s">
        <v>1863</v>
      </c>
    </row>
    <row r="122" spans="1:5">
      <c r="A122" t="s">
        <v>1132</v>
      </c>
      <c r="B122" t="s">
        <v>1864</v>
      </c>
      <c r="C122" t="s">
        <v>1865</v>
      </c>
      <c r="D122">
        <v>0.31</v>
      </c>
      <c r="E122" t="s">
        <v>1866</v>
      </c>
    </row>
    <row r="123" spans="1:5">
      <c r="A123" t="s">
        <v>1081</v>
      </c>
      <c r="B123" t="s">
        <v>1867</v>
      </c>
      <c r="C123" t="s">
        <v>1868</v>
      </c>
      <c r="D123">
        <v>0.2</v>
      </c>
      <c r="E123" t="s">
        <v>1869</v>
      </c>
    </row>
    <row r="124" spans="1:5">
      <c r="A124" t="s">
        <v>1082</v>
      </c>
      <c r="B124" t="s">
        <v>1870</v>
      </c>
      <c r="C124" t="s">
        <v>1871</v>
      </c>
      <c r="D124">
        <v>0.64</v>
      </c>
      <c r="E124" t="s">
        <v>1872</v>
      </c>
    </row>
    <row r="125" spans="1:5">
      <c r="A125" t="s">
        <v>1134</v>
      </c>
      <c r="B125" t="s">
        <v>1873</v>
      </c>
      <c r="C125" t="s">
        <v>1874</v>
      </c>
      <c r="D125">
        <v>0.16</v>
      </c>
      <c r="E125" t="s">
        <v>1586</v>
      </c>
    </row>
    <row r="126" spans="1:5">
      <c r="A126" t="s">
        <v>482</v>
      </c>
      <c r="B126" t="s">
        <v>1875</v>
      </c>
      <c r="C126" t="s">
        <v>1876</v>
      </c>
      <c r="D126">
        <v>0.68</v>
      </c>
      <c r="E126" t="s">
        <v>1451</v>
      </c>
    </row>
    <row r="127" spans="1:5">
      <c r="A127" t="s">
        <v>404</v>
      </c>
      <c r="B127" t="s">
        <v>1877</v>
      </c>
      <c r="C127" t="s">
        <v>1878</v>
      </c>
      <c r="D127">
        <v>0.5</v>
      </c>
      <c r="E127" t="s">
        <v>1879</v>
      </c>
    </row>
    <row r="128" spans="1:5">
      <c r="A128" t="s">
        <v>285</v>
      </c>
      <c r="B128" t="s">
        <v>1880</v>
      </c>
      <c r="C128" t="s">
        <v>1881</v>
      </c>
      <c r="D128">
        <v>0.32</v>
      </c>
      <c r="E128" t="s">
        <v>1882</v>
      </c>
    </row>
    <row r="129" spans="1:5">
      <c r="A129" t="s">
        <v>1135</v>
      </c>
      <c r="B129" t="s">
        <v>1883</v>
      </c>
      <c r="C129" t="s">
        <v>1884</v>
      </c>
      <c r="D129">
        <v>0.53</v>
      </c>
      <c r="E129" t="s">
        <v>1885</v>
      </c>
    </row>
    <row r="130" spans="1:5">
      <c r="A130" t="s">
        <v>1136</v>
      </c>
      <c r="B130" t="s">
        <v>1886</v>
      </c>
      <c r="C130" t="s">
        <v>1887</v>
      </c>
      <c r="D130">
        <v>0.84</v>
      </c>
      <c r="E130" t="s">
        <v>1454</v>
      </c>
    </row>
    <row r="131" spans="1:5">
      <c r="A131" t="s">
        <v>1138</v>
      </c>
      <c r="B131" t="s">
        <v>1888</v>
      </c>
      <c r="C131" t="s">
        <v>1889</v>
      </c>
      <c r="D131">
        <v>0.26</v>
      </c>
      <c r="E131" t="s">
        <v>1890</v>
      </c>
    </row>
    <row r="132" spans="1:5">
      <c r="A132" t="s">
        <v>1086</v>
      </c>
      <c r="B132" t="s">
        <v>1891</v>
      </c>
      <c r="C132" t="s">
        <v>1892</v>
      </c>
      <c r="D132">
        <v>0.46</v>
      </c>
      <c r="E132" t="s">
        <v>1893</v>
      </c>
    </row>
    <row r="133" spans="1:5">
      <c r="A133" t="s">
        <v>1139</v>
      </c>
      <c r="B133" t="s">
        <v>1894</v>
      </c>
      <c r="C133" t="s">
        <v>1895</v>
      </c>
      <c r="D133">
        <v>0.53</v>
      </c>
      <c r="E133" t="s">
        <v>1896</v>
      </c>
    </row>
    <row r="134" spans="1:5">
      <c r="A134" t="s">
        <v>1088</v>
      </c>
      <c r="B134" t="s">
        <v>1897</v>
      </c>
      <c r="C134" t="s">
        <v>1898</v>
      </c>
      <c r="D134">
        <v>0.31</v>
      </c>
      <c r="E134" t="s">
        <v>1436</v>
      </c>
    </row>
    <row r="135" spans="1:5">
      <c r="A135" t="s">
        <v>1140</v>
      </c>
      <c r="B135" t="s">
        <v>1899</v>
      </c>
      <c r="C135" t="s">
        <v>1900</v>
      </c>
      <c r="D135">
        <v>0.61</v>
      </c>
      <c r="E135" t="s">
        <v>1901</v>
      </c>
    </row>
    <row r="136" spans="1:5">
      <c r="A136" t="s">
        <v>1141</v>
      </c>
      <c r="B136" t="s">
        <v>1902</v>
      </c>
      <c r="C136" t="s">
        <v>1903</v>
      </c>
      <c r="D136">
        <v>0.42</v>
      </c>
      <c r="E136" t="s">
        <v>1448</v>
      </c>
    </row>
    <row r="137" spans="1:5">
      <c r="A137" t="s">
        <v>1142</v>
      </c>
      <c r="B137" t="s">
        <v>1904</v>
      </c>
      <c r="C137" t="s">
        <v>1905</v>
      </c>
      <c r="D137">
        <v>0.46</v>
      </c>
      <c r="E137" t="s">
        <v>1906</v>
      </c>
    </row>
    <row r="138" spans="1:5">
      <c r="A138" t="s">
        <v>1090</v>
      </c>
      <c r="B138" t="s">
        <v>1907</v>
      </c>
      <c r="C138" t="s">
        <v>1908</v>
      </c>
      <c r="D138">
        <v>0.3</v>
      </c>
      <c r="E138" t="s">
        <v>1680</v>
      </c>
    </row>
    <row r="139" spans="1:5">
      <c r="A139" t="s">
        <v>1143</v>
      </c>
      <c r="B139" t="s">
        <v>1909</v>
      </c>
      <c r="C139" t="s">
        <v>1910</v>
      </c>
      <c r="D139">
        <v>0.84</v>
      </c>
      <c r="E139" t="s">
        <v>1469</v>
      </c>
    </row>
    <row r="140" spans="1:5">
      <c r="A140" t="s">
        <v>1144</v>
      </c>
      <c r="B140" t="s">
        <v>1431</v>
      </c>
      <c r="C140" t="s">
        <v>1432</v>
      </c>
      <c r="D140">
        <v>0.39</v>
      </c>
      <c r="E140" t="s">
        <v>1433</v>
      </c>
    </row>
    <row r="141" spans="1:5">
      <c r="A141" t="s">
        <v>1092</v>
      </c>
      <c r="B141" t="s">
        <v>1434</v>
      </c>
      <c r="C141" t="s">
        <v>1435</v>
      </c>
      <c r="D141">
        <v>0.31</v>
      </c>
      <c r="E141" t="s">
        <v>1436</v>
      </c>
    </row>
    <row r="142" spans="1:5">
      <c r="A142" t="s">
        <v>1145</v>
      </c>
      <c r="B142" t="s">
        <v>1437</v>
      </c>
      <c r="C142" t="s">
        <v>1438</v>
      </c>
      <c r="D142">
        <v>0.36</v>
      </c>
      <c r="E142" t="s">
        <v>1439</v>
      </c>
    </row>
    <row r="143" spans="1:5">
      <c r="A143" t="s">
        <v>1146</v>
      </c>
      <c r="B143" t="s">
        <v>1440</v>
      </c>
      <c r="C143" t="s">
        <v>1441</v>
      </c>
      <c r="D143">
        <v>0.56999999999999995</v>
      </c>
      <c r="E143" t="s">
        <v>1442</v>
      </c>
    </row>
    <row r="144" spans="1:5">
      <c r="A144" t="s">
        <v>1147</v>
      </c>
      <c r="B144" t="s">
        <v>1443</v>
      </c>
      <c r="C144" t="s">
        <v>1444</v>
      </c>
      <c r="D144">
        <v>0.75</v>
      </c>
      <c r="E144" t="s">
        <v>1445</v>
      </c>
    </row>
    <row r="145" spans="1:5">
      <c r="A145" t="s">
        <v>1148</v>
      </c>
      <c r="B145" t="s">
        <v>1446</v>
      </c>
      <c r="C145" t="s">
        <v>1447</v>
      </c>
      <c r="D145">
        <v>0.42</v>
      </c>
      <c r="E145" t="s">
        <v>1448</v>
      </c>
    </row>
    <row r="146" spans="1:5">
      <c r="A146" t="s">
        <v>1094</v>
      </c>
      <c r="B146" t="s">
        <v>1449</v>
      </c>
      <c r="C146" t="s">
        <v>1450</v>
      </c>
      <c r="D146">
        <v>0.68</v>
      </c>
      <c r="E146" t="s">
        <v>1451</v>
      </c>
    </row>
    <row r="147" spans="1:5">
      <c r="A147" t="s">
        <v>1149</v>
      </c>
      <c r="B147" t="s">
        <v>1452</v>
      </c>
      <c r="C147" t="s">
        <v>1453</v>
      </c>
      <c r="D147">
        <v>0.84</v>
      </c>
      <c r="E147" t="s">
        <v>1454</v>
      </c>
    </row>
    <row r="148" spans="1:5">
      <c r="A148" t="s">
        <v>1096</v>
      </c>
      <c r="B148" t="s">
        <v>1455</v>
      </c>
      <c r="C148" t="s">
        <v>1456</v>
      </c>
      <c r="D148">
        <v>0.35</v>
      </c>
      <c r="E148" t="s">
        <v>1457</v>
      </c>
    </row>
    <row r="149" spans="1:5">
      <c r="A149" t="s">
        <v>1151</v>
      </c>
      <c r="B149" t="s">
        <v>1458</v>
      </c>
      <c r="C149" t="s">
        <v>1459</v>
      </c>
      <c r="D149">
        <v>0.44</v>
      </c>
      <c r="E149" t="s">
        <v>1460</v>
      </c>
    </row>
    <row r="150" spans="1:5">
      <c r="A150" t="s">
        <v>1152</v>
      </c>
      <c r="B150" t="s">
        <v>1461</v>
      </c>
      <c r="C150" t="s">
        <v>1462</v>
      </c>
      <c r="D150">
        <v>0.4</v>
      </c>
      <c r="E150" t="s">
        <v>1463</v>
      </c>
    </row>
    <row r="151" spans="1:5">
      <c r="A151" t="s">
        <v>1097</v>
      </c>
      <c r="B151" t="s">
        <v>1464</v>
      </c>
      <c r="C151" t="s">
        <v>1465</v>
      </c>
      <c r="D151">
        <v>0.28000000000000003</v>
      </c>
      <c r="E151" t="s">
        <v>1466</v>
      </c>
    </row>
    <row r="152" spans="1:5">
      <c r="A152" t="s">
        <v>1153</v>
      </c>
      <c r="B152" t="s">
        <v>1467</v>
      </c>
      <c r="C152" t="s">
        <v>1468</v>
      </c>
      <c r="D152">
        <v>0.84</v>
      </c>
      <c r="E152" t="s">
        <v>1469</v>
      </c>
    </row>
    <row r="153" spans="1:5">
      <c r="A153" t="s">
        <v>1154</v>
      </c>
      <c r="B153" t="s">
        <v>1470</v>
      </c>
      <c r="C153" t="s">
        <v>1471</v>
      </c>
      <c r="D153">
        <v>0.98</v>
      </c>
      <c r="E153" t="s">
        <v>1472</v>
      </c>
    </row>
    <row r="154" spans="1:5">
      <c r="A154" t="s">
        <v>1155</v>
      </c>
      <c r="B154" t="s">
        <v>1473</v>
      </c>
      <c r="C154" t="s">
        <v>1474</v>
      </c>
      <c r="D154">
        <v>1.03</v>
      </c>
      <c r="E154" t="s">
        <v>1475</v>
      </c>
    </row>
    <row r="155" spans="1:5">
      <c r="A155" t="s">
        <v>1100</v>
      </c>
      <c r="B155" t="s">
        <v>1476</v>
      </c>
      <c r="C155" t="s">
        <v>1477</v>
      </c>
      <c r="D155">
        <v>0.35</v>
      </c>
      <c r="E155" t="s">
        <v>1478</v>
      </c>
    </row>
    <row r="156" spans="1:5">
      <c r="A156" t="s">
        <v>1101</v>
      </c>
      <c r="B156" t="s">
        <v>1479</v>
      </c>
      <c r="C156" t="s">
        <v>1480</v>
      </c>
      <c r="D156">
        <v>0.26</v>
      </c>
      <c r="E156" t="s">
        <v>1481</v>
      </c>
    </row>
    <row r="157" spans="1:5">
      <c r="A157" t="s">
        <v>252</v>
      </c>
      <c r="B157" t="s">
        <v>1482</v>
      </c>
      <c r="C157" t="s">
        <v>1483</v>
      </c>
      <c r="D157">
        <v>0.37</v>
      </c>
      <c r="E157" t="s">
        <v>1484</v>
      </c>
    </row>
    <row r="158" spans="1:5">
      <c r="A158" t="s">
        <v>1156</v>
      </c>
      <c r="B158" t="s">
        <v>1485</v>
      </c>
      <c r="C158" t="s">
        <v>1486</v>
      </c>
      <c r="D158">
        <v>0.44</v>
      </c>
      <c r="E158" t="s">
        <v>1487</v>
      </c>
    </row>
    <row r="159" spans="1:5">
      <c r="A159" t="s">
        <v>1104</v>
      </c>
      <c r="B159" t="s">
        <v>1488</v>
      </c>
      <c r="C159" t="s">
        <v>1489</v>
      </c>
      <c r="D159">
        <v>0.24</v>
      </c>
      <c r="E159" t="s">
        <v>1490</v>
      </c>
    </row>
    <row r="160" spans="1:5">
      <c r="A160" t="s">
        <v>1157</v>
      </c>
      <c r="B160" t="s">
        <v>1491</v>
      </c>
      <c r="C160" t="s">
        <v>1492</v>
      </c>
      <c r="D160">
        <v>0.44</v>
      </c>
      <c r="E160" t="s">
        <v>1460</v>
      </c>
    </row>
    <row r="161" spans="1:5">
      <c r="A161" t="s">
        <v>1158</v>
      </c>
      <c r="B161" t="s">
        <v>1493</v>
      </c>
      <c r="C161" t="s">
        <v>1494</v>
      </c>
      <c r="D161">
        <v>0.52</v>
      </c>
      <c r="E161" t="s">
        <v>1495</v>
      </c>
    </row>
    <row r="162" spans="1:5">
      <c r="A162" t="s">
        <v>583</v>
      </c>
      <c r="B162" t="s">
        <v>1496</v>
      </c>
      <c r="C162" t="s">
        <v>1497</v>
      </c>
      <c r="D162">
        <v>0.55000000000000004</v>
      </c>
      <c r="E162" t="s">
        <v>1498</v>
      </c>
    </row>
    <row r="163" spans="1:5">
      <c r="A163" t="s">
        <v>1430</v>
      </c>
      <c r="B163" t="s">
        <v>1499</v>
      </c>
      <c r="C163" t="s">
        <v>1500</v>
      </c>
      <c r="D163">
        <v>0.43</v>
      </c>
      <c r="E163" t="s">
        <v>1501</v>
      </c>
    </row>
    <row r="164" spans="1:5">
      <c r="A164" t="s">
        <v>1108</v>
      </c>
      <c r="B164" t="s">
        <v>1502</v>
      </c>
      <c r="C164" t="s">
        <v>1503</v>
      </c>
      <c r="D164">
        <v>0.55000000000000004</v>
      </c>
      <c r="E164" t="s">
        <v>1504</v>
      </c>
    </row>
    <row r="165" spans="1:5">
      <c r="A165" t="s">
        <v>1110</v>
      </c>
      <c r="B165" t="s">
        <v>1505</v>
      </c>
      <c r="C165" t="s">
        <v>1506</v>
      </c>
      <c r="D165">
        <v>0.17</v>
      </c>
      <c r="E165" t="s">
        <v>1507</v>
      </c>
    </row>
    <row r="166" spans="1:5">
      <c r="A166" t="s">
        <v>1111</v>
      </c>
      <c r="B166" t="s">
        <v>1508</v>
      </c>
      <c r="C166" t="s">
        <v>1509</v>
      </c>
      <c r="D166">
        <v>0.52</v>
      </c>
      <c r="E166" t="s">
        <v>1510</v>
      </c>
    </row>
    <row r="167" spans="1:5">
      <c r="A167" t="s">
        <v>1168</v>
      </c>
      <c r="B167" t="s">
        <v>1511</v>
      </c>
      <c r="C167" t="s">
        <v>1512</v>
      </c>
      <c r="D167">
        <v>0.37</v>
      </c>
      <c r="E167" t="s">
        <v>1513</v>
      </c>
    </row>
    <row r="168" spans="1:5">
      <c r="A168" t="s">
        <v>1160</v>
      </c>
      <c r="B168" t="s">
        <v>1514</v>
      </c>
      <c r="C168" t="s">
        <v>1515</v>
      </c>
      <c r="D168">
        <v>0.88</v>
      </c>
      <c r="E168" t="s">
        <v>1516</v>
      </c>
    </row>
    <row r="169" spans="1:5">
      <c r="A169" t="s">
        <v>155</v>
      </c>
      <c r="B169" t="s">
        <v>1517</v>
      </c>
      <c r="C169" t="s">
        <v>1518</v>
      </c>
      <c r="D169">
        <v>1.47</v>
      </c>
      <c r="E169" t="s">
        <v>1519</v>
      </c>
    </row>
    <row r="170" spans="1:5">
      <c r="A170" t="s">
        <v>334</v>
      </c>
      <c r="B170" t="s">
        <v>1520</v>
      </c>
      <c r="C170" t="s">
        <v>1521</v>
      </c>
      <c r="D170">
        <v>0.79</v>
      </c>
      <c r="E170" t="s">
        <v>1522</v>
      </c>
    </row>
    <row r="171" spans="1:5">
      <c r="A171" t="s">
        <v>1112</v>
      </c>
      <c r="B171" t="s">
        <v>1523</v>
      </c>
      <c r="C171" t="s">
        <v>1524</v>
      </c>
      <c r="D171">
        <v>0.42</v>
      </c>
      <c r="E171" t="s">
        <v>1448</v>
      </c>
    </row>
    <row r="172" spans="1:5">
      <c r="A172" t="s">
        <v>1161</v>
      </c>
      <c r="B172" t="s">
        <v>1525</v>
      </c>
      <c r="C172" t="s">
        <v>1526</v>
      </c>
      <c r="D172">
        <v>0.27</v>
      </c>
      <c r="E172" t="s">
        <v>1527</v>
      </c>
    </row>
    <row r="173" spans="1:5">
      <c r="A173" t="s">
        <v>1116</v>
      </c>
      <c r="B173" t="s">
        <v>1528</v>
      </c>
      <c r="C173" t="s">
        <v>1529</v>
      </c>
      <c r="D173">
        <v>0.44</v>
      </c>
      <c r="E173" t="s">
        <v>1530</v>
      </c>
    </row>
    <row r="174" spans="1:5">
      <c r="A174" t="s">
        <v>1120</v>
      </c>
      <c r="B174" t="s">
        <v>1536</v>
      </c>
      <c r="C174" t="s">
        <v>1531</v>
      </c>
      <c r="D174">
        <v>0.38</v>
      </c>
      <c r="E174" t="s">
        <v>1532</v>
      </c>
    </row>
    <row r="175" spans="1:5">
      <c r="A175" t="s">
        <v>1122</v>
      </c>
      <c r="B175" t="s">
        <v>1533</v>
      </c>
      <c r="C175" t="s">
        <v>1534</v>
      </c>
      <c r="D175">
        <v>0.53</v>
      </c>
      <c r="E175" t="s">
        <v>1535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03119-4F52-4FE8-8EC0-CDCB15F8103F}">
  <sheetPr codeName="Sheet14"/>
  <dimension ref="A1:AJ62"/>
  <sheetViews>
    <sheetView topLeftCell="A19" zoomScale="90" zoomScaleNormal="90" workbookViewId="0">
      <selection activeCell="E52" sqref="E52"/>
    </sheetView>
  </sheetViews>
  <sheetFormatPr baseColWidth="10" defaultColWidth="8.83203125" defaultRowHeight="15"/>
  <sheetData>
    <row r="1" spans="1:27" s="2" customFormat="1" ht="13">
      <c r="A1" s="2" t="s">
        <v>653</v>
      </c>
      <c r="B1" s="2" t="s">
        <v>668</v>
      </c>
      <c r="C1" s="2" t="s">
        <v>1282</v>
      </c>
      <c r="D1" s="2" t="s">
        <v>3</v>
      </c>
      <c r="E1" s="2" t="s">
        <v>648</v>
      </c>
      <c r="F1" s="2" t="s">
        <v>670</v>
      </c>
      <c r="G1" s="2" t="s">
        <v>671</v>
      </c>
      <c r="H1" s="2" t="s">
        <v>672</v>
      </c>
      <c r="I1" s="2" t="s">
        <v>675</v>
      </c>
      <c r="J1" s="2" t="s">
        <v>1283</v>
      </c>
      <c r="K1" s="2" t="s">
        <v>676</v>
      </c>
      <c r="L1" s="21" t="s">
        <v>2</v>
      </c>
      <c r="M1" s="2" t="s">
        <v>677</v>
      </c>
      <c r="N1" s="21" t="s">
        <v>1284</v>
      </c>
      <c r="O1" s="2" t="s">
        <v>1285</v>
      </c>
      <c r="P1" s="2" t="s">
        <v>1286</v>
      </c>
      <c r="Q1" s="16" t="s">
        <v>1287</v>
      </c>
      <c r="R1" s="2" t="s">
        <v>1288</v>
      </c>
      <c r="S1" s="2" t="s">
        <v>1289</v>
      </c>
      <c r="T1" s="2" t="s">
        <v>1290</v>
      </c>
      <c r="U1" s="18" t="s">
        <v>1291</v>
      </c>
      <c r="V1" s="2" t="s">
        <v>1292</v>
      </c>
      <c r="W1" s="18" t="s">
        <v>1293</v>
      </c>
      <c r="X1" s="2" t="s">
        <v>1294</v>
      </c>
      <c r="Y1" s="2" t="s">
        <v>1295</v>
      </c>
      <c r="Z1" s="2" t="s">
        <v>1296</v>
      </c>
      <c r="AA1" s="2" t="s">
        <v>1297</v>
      </c>
    </row>
    <row r="2" spans="1:27" s="12" customFormat="1" ht="13">
      <c r="A2" s="1"/>
      <c r="B2" s="1"/>
      <c r="C2" s="1" t="s">
        <v>1298</v>
      </c>
      <c r="D2" s="1" t="s">
        <v>230</v>
      </c>
      <c r="E2" s="9" t="s">
        <v>1299</v>
      </c>
      <c r="F2" s="1" t="s">
        <v>705</v>
      </c>
      <c r="G2" s="1" t="s">
        <v>183</v>
      </c>
      <c r="H2" s="1" t="s">
        <v>1300</v>
      </c>
      <c r="I2" s="1"/>
      <c r="J2" s="1" t="s">
        <v>929</v>
      </c>
      <c r="K2" s="3" t="s">
        <v>167</v>
      </c>
      <c r="L2" s="22">
        <v>2016</v>
      </c>
      <c r="M2" s="1" t="s">
        <v>699</v>
      </c>
      <c r="N2" s="22">
        <v>2014</v>
      </c>
      <c r="O2" s="9" t="s">
        <v>1301</v>
      </c>
      <c r="P2" s="10"/>
      <c r="Q2" s="10"/>
      <c r="R2" s="1"/>
      <c r="S2" s="1"/>
      <c r="T2" s="1"/>
      <c r="U2" s="7"/>
      <c r="V2" s="1"/>
      <c r="W2" s="7"/>
      <c r="X2" s="1"/>
      <c r="Y2" s="1"/>
      <c r="Z2" s="1" t="s">
        <v>161</v>
      </c>
      <c r="AA2" s="4" t="s">
        <v>1302</v>
      </c>
    </row>
    <row r="3" spans="1:27" s="12" customFormat="1" ht="13">
      <c r="A3" s="1"/>
      <c r="B3" s="1"/>
      <c r="C3" s="1" t="s">
        <v>1298</v>
      </c>
      <c r="D3" s="1" t="s">
        <v>230</v>
      </c>
      <c r="E3" s="9" t="s">
        <v>1299</v>
      </c>
      <c r="F3" s="1" t="s">
        <v>705</v>
      </c>
      <c r="G3" s="1" t="s">
        <v>183</v>
      </c>
      <c r="H3" s="1" t="s">
        <v>1300</v>
      </c>
      <c r="I3" s="1"/>
      <c r="J3" s="1" t="s">
        <v>929</v>
      </c>
      <c r="K3" s="3" t="s">
        <v>153</v>
      </c>
      <c r="L3" s="22">
        <v>2016</v>
      </c>
      <c r="M3" s="1" t="s">
        <v>699</v>
      </c>
      <c r="N3" s="22">
        <v>2014</v>
      </c>
      <c r="O3" s="9" t="s">
        <v>1303</v>
      </c>
      <c r="P3" s="10"/>
      <c r="Q3" s="10"/>
      <c r="R3" s="1"/>
      <c r="S3" s="1"/>
      <c r="T3" s="1"/>
      <c r="U3" s="7"/>
      <c r="V3" s="1"/>
      <c r="W3" s="7"/>
      <c r="X3" s="1"/>
      <c r="Y3" s="1"/>
      <c r="Z3" s="1" t="s">
        <v>174</v>
      </c>
      <c r="AA3" s="4" t="s">
        <v>1302</v>
      </c>
    </row>
    <row r="4" spans="1:27" s="12" customFormat="1" ht="13">
      <c r="A4" s="1"/>
      <c r="B4" s="1"/>
      <c r="C4" s="1" t="s">
        <v>1298</v>
      </c>
      <c r="D4" s="1" t="s">
        <v>230</v>
      </c>
      <c r="E4" s="9" t="s">
        <v>1299</v>
      </c>
      <c r="F4" s="1" t="s">
        <v>707</v>
      </c>
      <c r="G4" s="1" t="s">
        <v>186</v>
      </c>
      <c r="H4" s="1" t="s">
        <v>1300</v>
      </c>
      <c r="I4" s="1"/>
      <c r="J4" s="1" t="s">
        <v>929</v>
      </c>
      <c r="K4" s="3" t="s">
        <v>167</v>
      </c>
      <c r="L4" s="22">
        <v>2016</v>
      </c>
      <c r="M4" s="1" t="s">
        <v>699</v>
      </c>
      <c r="N4" s="22">
        <v>2014</v>
      </c>
      <c r="O4" s="9" t="s">
        <v>1304</v>
      </c>
      <c r="P4" s="10"/>
      <c r="Q4" s="10"/>
      <c r="R4" s="1"/>
      <c r="S4" s="1"/>
      <c r="T4" s="1"/>
      <c r="U4" s="7"/>
      <c r="V4" s="1"/>
      <c r="W4" s="7"/>
      <c r="X4" s="1"/>
      <c r="Y4" s="1"/>
      <c r="Z4" s="1" t="s">
        <v>174</v>
      </c>
      <c r="AA4" s="4" t="s">
        <v>1302</v>
      </c>
    </row>
    <row r="5" spans="1:27" s="12" customFormat="1" ht="13">
      <c r="A5" s="1"/>
      <c r="B5" s="1"/>
      <c r="C5" s="1" t="s">
        <v>1298</v>
      </c>
      <c r="D5" s="1" t="s">
        <v>230</v>
      </c>
      <c r="E5" s="9" t="s">
        <v>1299</v>
      </c>
      <c r="F5" s="1" t="s">
        <v>707</v>
      </c>
      <c r="G5" s="1" t="s">
        <v>186</v>
      </c>
      <c r="H5" s="1" t="s">
        <v>1300</v>
      </c>
      <c r="I5" s="1"/>
      <c r="J5" s="1" t="s">
        <v>929</v>
      </c>
      <c r="K5" s="3" t="s">
        <v>153</v>
      </c>
      <c r="L5" s="22">
        <v>2016</v>
      </c>
      <c r="M5" s="1" t="s">
        <v>699</v>
      </c>
      <c r="N5" s="22">
        <v>2014</v>
      </c>
      <c r="O5" s="9" t="s">
        <v>1304</v>
      </c>
      <c r="P5" s="10"/>
      <c r="Q5" s="10"/>
      <c r="R5" s="1"/>
      <c r="S5" s="1"/>
      <c r="T5" s="1"/>
      <c r="U5" s="7"/>
      <c r="V5" s="1"/>
      <c r="W5" s="7"/>
      <c r="X5" s="1"/>
      <c r="Y5" s="1"/>
      <c r="Z5" s="1" t="s">
        <v>174</v>
      </c>
      <c r="AA5" s="4" t="s">
        <v>1302</v>
      </c>
    </row>
    <row r="6" spans="1:27" s="12" customFormat="1" ht="13">
      <c r="A6" s="1"/>
      <c r="B6" s="1"/>
      <c r="C6" s="1" t="s">
        <v>1298</v>
      </c>
      <c r="D6" s="1" t="s">
        <v>230</v>
      </c>
      <c r="E6" s="9" t="s">
        <v>1299</v>
      </c>
      <c r="F6" s="1" t="s">
        <v>707</v>
      </c>
      <c r="G6" s="1" t="s">
        <v>186</v>
      </c>
      <c r="H6" s="1" t="s">
        <v>1300</v>
      </c>
      <c r="I6" s="1"/>
      <c r="J6" s="1" t="s">
        <v>929</v>
      </c>
      <c r="K6" s="3" t="s">
        <v>167</v>
      </c>
      <c r="L6" s="22">
        <v>2016</v>
      </c>
      <c r="M6" s="1" t="s">
        <v>699</v>
      </c>
      <c r="N6" s="22">
        <v>2014</v>
      </c>
      <c r="O6" s="9" t="s">
        <v>1304</v>
      </c>
      <c r="P6" s="10"/>
      <c r="Q6" s="10"/>
      <c r="R6" s="1"/>
      <c r="S6" s="1"/>
      <c r="T6" s="1"/>
      <c r="U6" s="7"/>
      <c r="V6" s="1"/>
      <c r="W6" s="7"/>
      <c r="X6" s="1"/>
      <c r="Y6" s="1"/>
      <c r="Z6" s="1" t="s">
        <v>174</v>
      </c>
      <c r="AA6" s="4" t="s">
        <v>1302</v>
      </c>
    </row>
    <row r="7" spans="1:27" s="12" customFormat="1" ht="13">
      <c r="A7" s="1"/>
      <c r="B7" s="1"/>
      <c r="C7" s="1" t="s">
        <v>1298</v>
      </c>
      <c r="D7" s="1" t="s">
        <v>230</v>
      </c>
      <c r="E7" s="9" t="s">
        <v>1299</v>
      </c>
      <c r="F7" s="1" t="s">
        <v>707</v>
      </c>
      <c r="G7" s="1" t="s">
        <v>186</v>
      </c>
      <c r="H7" s="1" t="s">
        <v>1300</v>
      </c>
      <c r="I7" s="1"/>
      <c r="J7" s="1" t="s">
        <v>929</v>
      </c>
      <c r="K7" s="3" t="s">
        <v>153</v>
      </c>
      <c r="L7" s="22">
        <v>2016</v>
      </c>
      <c r="M7" s="1" t="s">
        <v>699</v>
      </c>
      <c r="N7" s="22">
        <v>2014</v>
      </c>
      <c r="O7" s="9" t="s">
        <v>1304</v>
      </c>
      <c r="P7" s="10"/>
      <c r="Q7" s="10"/>
      <c r="R7" s="1"/>
      <c r="S7" s="1"/>
      <c r="T7" s="1"/>
      <c r="U7" s="7"/>
      <c r="V7" s="1"/>
      <c r="W7" s="7"/>
      <c r="X7" s="1"/>
      <c r="Y7" s="1"/>
      <c r="Z7" s="1" t="s">
        <v>161</v>
      </c>
      <c r="AA7" s="4" t="s">
        <v>1302</v>
      </c>
    </row>
    <row r="8" spans="1:27" s="12" customFormat="1" ht="13">
      <c r="A8" s="1"/>
      <c r="B8" s="1"/>
      <c r="C8" s="1" t="s">
        <v>1305</v>
      </c>
      <c r="D8" s="1" t="s">
        <v>1306</v>
      </c>
      <c r="E8" s="9" t="s">
        <v>1299</v>
      </c>
      <c r="F8" s="8" t="s">
        <v>719</v>
      </c>
      <c r="G8" s="8" t="s">
        <v>183</v>
      </c>
      <c r="H8" s="1" t="s">
        <v>186</v>
      </c>
      <c r="I8" s="1"/>
      <c r="J8" s="1" t="s">
        <v>929</v>
      </c>
      <c r="K8" s="3"/>
      <c r="L8" s="22">
        <v>2013</v>
      </c>
      <c r="M8" s="1" t="s">
        <v>1307</v>
      </c>
      <c r="N8" s="22">
        <v>2011</v>
      </c>
      <c r="O8" s="9" t="s">
        <v>1304</v>
      </c>
      <c r="P8" s="10"/>
      <c r="Q8" s="10"/>
      <c r="R8" s="1"/>
      <c r="S8" s="1"/>
      <c r="T8" s="1"/>
      <c r="U8" s="7"/>
      <c r="V8" s="1"/>
      <c r="W8" s="7"/>
      <c r="X8" s="1"/>
      <c r="Y8" s="1"/>
      <c r="Z8" s="1" t="s">
        <v>174</v>
      </c>
      <c r="AA8" s="4" t="s">
        <v>1302</v>
      </c>
    </row>
    <row r="9" spans="1:27" s="12" customFormat="1" ht="13">
      <c r="A9" s="1"/>
      <c r="B9" s="1"/>
      <c r="C9" s="1" t="s">
        <v>1308</v>
      </c>
      <c r="D9" s="1" t="s">
        <v>1309</v>
      </c>
      <c r="E9" s="9" t="s">
        <v>1299</v>
      </c>
      <c r="F9" s="1" t="s">
        <v>698</v>
      </c>
      <c r="G9" s="1" t="s">
        <v>150</v>
      </c>
      <c r="H9" s="1" t="s">
        <v>1300</v>
      </c>
      <c r="I9" s="1"/>
      <c r="J9" s="1" t="s">
        <v>929</v>
      </c>
      <c r="K9" s="3" t="s">
        <v>167</v>
      </c>
      <c r="L9" s="22">
        <v>2009</v>
      </c>
      <c r="M9" s="1" t="s">
        <v>699</v>
      </c>
      <c r="N9" s="22">
        <v>2007</v>
      </c>
      <c r="O9" s="9" t="s">
        <v>1310</v>
      </c>
      <c r="P9" s="10"/>
      <c r="Q9" s="10"/>
      <c r="R9" s="1"/>
      <c r="S9" s="1"/>
      <c r="T9" s="1"/>
      <c r="U9" s="7"/>
      <c r="V9" s="1"/>
      <c r="W9" s="7"/>
      <c r="X9" s="1"/>
      <c r="Y9" s="1"/>
      <c r="Z9" s="1" t="s">
        <v>174</v>
      </c>
      <c r="AA9" s="4" t="s">
        <v>1302</v>
      </c>
    </row>
    <row r="10" spans="1:27" s="12" customFormat="1" ht="13">
      <c r="A10" s="1"/>
      <c r="B10" s="1"/>
      <c r="C10" s="1" t="s">
        <v>1308</v>
      </c>
      <c r="D10" s="1" t="s">
        <v>1309</v>
      </c>
      <c r="E10" s="9" t="s">
        <v>1299</v>
      </c>
      <c r="F10" s="1" t="s">
        <v>698</v>
      </c>
      <c r="G10" s="1" t="s">
        <v>150</v>
      </c>
      <c r="H10" s="1" t="s">
        <v>1300</v>
      </c>
      <c r="I10" s="1"/>
      <c r="J10" s="1" t="s">
        <v>929</v>
      </c>
      <c r="K10" s="3" t="s">
        <v>153</v>
      </c>
      <c r="L10" s="22">
        <v>2009</v>
      </c>
      <c r="M10" s="1" t="s">
        <v>699</v>
      </c>
      <c r="N10" s="22">
        <v>2007</v>
      </c>
      <c r="O10" s="9" t="s">
        <v>1311</v>
      </c>
      <c r="P10" s="10"/>
      <c r="Q10" s="10"/>
      <c r="R10" s="1"/>
      <c r="S10" s="1"/>
      <c r="T10" s="1"/>
      <c r="U10" s="7"/>
      <c r="V10" s="1"/>
      <c r="W10" s="7"/>
      <c r="X10" s="1"/>
      <c r="Y10" s="1"/>
      <c r="Z10" s="1" t="s">
        <v>174</v>
      </c>
      <c r="AA10" s="4" t="s">
        <v>1302</v>
      </c>
    </row>
    <row r="11" spans="1:27" s="12" customFormat="1" ht="13">
      <c r="A11" s="1"/>
      <c r="B11" s="1"/>
      <c r="C11" s="1" t="s">
        <v>1312</v>
      </c>
      <c r="D11" s="1" t="s">
        <v>1313</v>
      </c>
      <c r="E11" s="9" t="s">
        <v>1098</v>
      </c>
      <c r="F11" s="1" t="s">
        <v>698</v>
      </c>
      <c r="G11" s="1" t="s">
        <v>150</v>
      </c>
      <c r="H11" s="1" t="s">
        <v>1300</v>
      </c>
      <c r="I11" s="1"/>
      <c r="J11" s="1" t="s">
        <v>929</v>
      </c>
      <c r="K11" s="3"/>
      <c r="L11" s="22">
        <v>2012</v>
      </c>
      <c r="M11" s="1" t="s">
        <v>699</v>
      </c>
      <c r="N11" s="22">
        <v>2011</v>
      </c>
      <c r="O11" s="9" t="s">
        <v>1314</v>
      </c>
      <c r="P11" s="10"/>
      <c r="Q11" s="10"/>
      <c r="R11" s="1"/>
      <c r="S11" s="1"/>
      <c r="T11" s="1"/>
      <c r="U11" s="7"/>
      <c r="V11" s="1"/>
      <c r="W11" s="7"/>
      <c r="X11" s="1"/>
      <c r="Y11" s="1"/>
      <c r="Z11" s="1" t="s">
        <v>174</v>
      </c>
      <c r="AA11" s="4" t="s">
        <v>1302</v>
      </c>
    </row>
    <row r="12" spans="1:27" s="12" customFormat="1" ht="13">
      <c r="A12" s="1"/>
      <c r="B12" s="1"/>
      <c r="C12" s="1" t="s">
        <v>1312</v>
      </c>
      <c r="D12" s="1" t="s">
        <v>1313</v>
      </c>
      <c r="E12" s="9" t="s">
        <v>1098</v>
      </c>
      <c r="F12" s="1" t="s">
        <v>698</v>
      </c>
      <c r="G12" s="1" t="s">
        <v>150</v>
      </c>
      <c r="H12" s="1" t="s">
        <v>1300</v>
      </c>
      <c r="I12" s="1"/>
      <c r="J12" s="1" t="s">
        <v>929</v>
      </c>
      <c r="K12" s="3"/>
      <c r="L12" s="22">
        <v>2012</v>
      </c>
      <c r="M12" s="1" t="s">
        <v>699</v>
      </c>
      <c r="N12" s="22">
        <v>2011</v>
      </c>
      <c r="O12" s="9" t="s">
        <v>1315</v>
      </c>
      <c r="P12" s="10"/>
      <c r="Q12" s="10"/>
      <c r="R12" s="1"/>
      <c r="S12" s="1"/>
      <c r="T12" s="1"/>
      <c r="U12" s="7"/>
      <c r="V12" s="1"/>
      <c r="W12" s="7"/>
      <c r="X12" s="1"/>
      <c r="Y12" s="1"/>
      <c r="Z12" s="1" t="s">
        <v>174</v>
      </c>
      <c r="AA12" s="4" t="s">
        <v>1302</v>
      </c>
    </row>
    <row r="13" spans="1:27" s="12" customFormat="1" ht="13">
      <c r="A13" s="1"/>
      <c r="B13" s="1"/>
      <c r="C13" s="1" t="s">
        <v>1316</v>
      </c>
      <c r="D13" s="1" t="s">
        <v>1317</v>
      </c>
      <c r="E13" s="9" t="s">
        <v>1098</v>
      </c>
      <c r="F13" s="1" t="s">
        <v>698</v>
      </c>
      <c r="G13" s="1" t="s">
        <v>150</v>
      </c>
      <c r="H13" s="1" t="s">
        <v>1300</v>
      </c>
      <c r="I13" s="1"/>
      <c r="J13" s="1" t="s">
        <v>929</v>
      </c>
      <c r="K13" s="3" t="s">
        <v>167</v>
      </c>
      <c r="L13" s="22">
        <v>2013</v>
      </c>
      <c r="M13" s="1" t="s">
        <v>1318</v>
      </c>
      <c r="N13" s="22">
        <v>2012</v>
      </c>
      <c r="O13" s="9" t="s">
        <v>1319</v>
      </c>
      <c r="P13" s="10"/>
      <c r="Q13" s="10"/>
      <c r="R13" s="1"/>
      <c r="S13" s="1"/>
      <c r="T13" s="1"/>
      <c r="U13" s="7"/>
      <c r="V13" s="1"/>
      <c r="W13" s="7"/>
      <c r="X13" s="1"/>
      <c r="Y13" s="1"/>
      <c r="Z13" s="1" t="s">
        <v>174</v>
      </c>
      <c r="AA13" s="4" t="s">
        <v>1302</v>
      </c>
    </row>
    <row r="14" spans="1:27" s="12" customFormat="1" ht="13">
      <c r="A14" s="1"/>
      <c r="B14" s="1"/>
      <c r="C14" s="1" t="s">
        <v>1316</v>
      </c>
      <c r="D14" s="1" t="s">
        <v>1317</v>
      </c>
      <c r="E14" s="9" t="s">
        <v>1098</v>
      </c>
      <c r="F14" s="1" t="s">
        <v>698</v>
      </c>
      <c r="G14" s="1" t="s">
        <v>150</v>
      </c>
      <c r="H14" s="1" t="s">
        <v>1300</v>
      </c>
      <c r="I14" s="1"/>
      <c r="J14" s="1" t="s">
        <v>929</v>
      </c>
      <c r="K14" s="3" t="s">
        <v>167</v>
      </c>
      <c r="L14" s="22">
        <v>2013</v>
      </c>
      <c r="M14" s="1" t="s">
        <v>1318</v>
      </c>
      <c r="N14" s="22">
        <v>2012</v>
      </c>
      <c r="O14" s="9" t="s">
        <v>1319</v>
      </c>
      <c r="P14" s="10"/>
      <c r="Q14" s="10"/>
      <c r="R14" s="1"/>
      <c r="S14" s="1"/>
      <c r="T14" s="1"/>
      <c r="U14" s="7"/>
      <c r="V14" s="1"/>
      <c r="W14" s="7"/>
      <c r="X14" s="1"/>
      <c r="Y14" s="1"/>
      <c r="Z14" s="1" t="s">
        <v>174</v>
      </c>
      <c r="AA14" s="4" t="s">
        <v>1302</v>
      </c>
    </row>
    <row r="15" spans="1:27" s="12" customFormat="1" ht="13">
      <c r="A15" s="1"/>
      <c r="B15" s="1"/>
      <c r="C15" s="1" t="s">
        <v>1316</v>
      </c>
      <c r="D15" s="1" t="s">
        <v>1317</v>
      </c>
      <c r="E15" s="9" t="s">
        <v>1098</v>
      </c>
      <c r="F15" s="1" t="s">
        <v>698</v>
      </c>
      <c r="G15" s="1" t="s">
        <v>150</v>
      </c>
      <c r="H15" s="1" t="s">
        <v>1300</v>
      </c>
      <c r="I15" s="1"/>
      <c r="J15" s="1" t="s">
        <v>929</v>
      </c>
      <c r="K15" s="3" t="s">
        <v>153</v>
      </c>
      <c r="L15" s="22">
        <v>2013</v>
      </c>
      <c r="M15" s="1" t="s">
        <v>1318</v>
      </c>
      <c r="N15" s="22">
        <v>2012</v>
      </c>
      <c r="O15" s="9" t="s">
        <v>1320</v>
      </c>
      <c r="P15" s="10"/>
      <c r="Q15" s="10"/>
      <c r="R15" s="1"/>
      <c r="S15" s="1"/>
      <c r="T15" s="1"/>
      <c r="U15" s="7"/>
      <c r="V15" s="1"/>
      <c r="W15" s="7"/>
      <c r="X15" s="1"/>
      <c r="Y15" s="1"/>
      <c r="Z15" s="1" t="s">
        <v>174</v>
      </c>
      <c r="AA15" s="4" t="s">
        <v>1302</v>
      </c>
    </row>
    <row r="16" spans="1:27" s="12" customFormat="1" ht="13">
      <c r="A16" s="1"/>
      <c r="B16" s="1"/>
      <c r="C16" s="1" t="s">
        <v>1316</v>
      </c>
      <c r="D16" s="1" t="s">
        <v>1317</v>
      </c>
      <c r="E16" s="9" t="s">
        <v>1098</v>
      </c>
      <c r="F16" s="1" t="s">
        <v>698</v>
      </c>
      <c r="G16" s="1" t="s">
        <v>150</v>
      </c>
      <c r="H16" s="1" t="s">
        <v>1300</v>
      </c>
      <c r="I16" s="1"/>
      <c r="J16" s="1" t="s">
        <v>929</v>
      </c>
      <c r="K16" s="3" t="s">
        <v>153</v>
      </c>
      <c r="L16" s="22">
        <v>2013</v>
      </c>
      <c r="M16" s="1" t="s">
        <v>1318</v>
      </c>
      <c r="N16" s="22">
        <v>2012</v>
      </c>
      <c r="O16" s="9" t="s">
        <v>1320</v>
      </c>
      <c r="P16" s="10"/>
      <c r="Q16" s="10"/>
      <c r="R16" s="1"/>
      <c r="S16" s="1"/>
      <c r="T16" s="1"/>
      <c r="U16" s="7"/>
      <c r="V16" s="1"/>
      <c r="W16" s="7"/>
      <c r="X16" s="1"/>
      <c r="Y16" s="1"/>
      <c r="Z16" s="1" t="s">
        <v>174</v>
      </c>
      <c r="AA16" s="4" t="s">
        <v>1302</v>
      </c>
    </row>
    <row r="17" spans="1:27" s="12" customFormat="1" ht="13">
      <c r="A17" s="1"/>
      <c r="B17" s="1"/>
      <c r="C17" s="1" t="s">
        <v>1316</v>
      </c>
      <c r="D17" s="1" t="s">
        <v>1317</v>
      </c>
      <c r="E17" s="9" t="s">
        <v>1098</v>
      </c>
      <c r="F17" s="1" t="s">
        <v>707</v>
      </c>
      <c r="G17" s="1" t="s">
        <v>186</v>
      </c>
      <c r="H17" s="1" t="s">
        <v>1300</v>
      </c>
      <c r="I17" s="1"/>
      <c r="J17" s="1" t="s">
        <v>929</v>
      </c>
      <c r="K17" s="3" t="s">
        <v>167</v>
      </c>
      <c r="L17" s="22">
        <v>2013</v>
      </c>
      <c r="M17" s="1" t="s">
        <v>1318</v>
      </c>
      <c r="N17" s="22">
        <v>2012</v>
      </c>
      <c r="O17" s="9" t="s">
        <v>1321</v>
      </c>
      <c r="P17" s="10"/>
      <c r="Q17" s="10"/>
      <c r="R17" s="1"/>
      <c r="S17" s="1"/>
      <c r="T17" s="1"/>
      <c r="U17" s="7"/>
      <c r="V17" s="1"/>
      <c r="W17" s="7"/>
      <c r="X17" s="1"/>
      <c r="Y17" s="1"/>
      <c r="Z17" s="1" t="s">
        <v>174</v>
      </c>
      <c r="AA17" s="4" t="s">
        <v>1302</v>
      </c>
    </row>
    <row r="18" spans="1:27" s="12" customFormat="1" ht="13">
      <c r="A18" s="1"/>
      <c r="B18" s="1"/>
      <c r="C18" s="1" t="s">
        <v>1316</v>
      </c>
      <c r="D18" s="1" t="s">
        <v>1317</v>
      </c>
      <c r="E18" s="9" t="s">
        <v>1098</v>
      </c>
      <c r="F18" s="1" t="s">
        <v>707</v>
      </c>
      <c r="G18" s="1" t="s">
        <v>186</v>
      </c>
      <c r="H18" s="1" t="s">
        <v>1300</v>
      </c>
      <c r="I18" s="1"/>
      <c r="J18" s="1" t="s">
        <v>929</v>
      </c>
      <c r="K18" s="3" t="s">
        <v>167</v>
      </c>
      <c r="L18" s="22">
        <v>2013</v>
      </c>
      <c r="M18" s="1" t="s">
        <v>1318</v>
      </c>
      <c r="N18" s="22">
        <v>2012</v>
      </c>
      <c r="O18" s="9" t="s">
        <v>1322</v>
      </c>
      <c r="P18" s="10"/>
      <c r="Q18" s="10"/>
      <c r="R18" s="1"/>
      <c r="S18" s="1"/>
      <c r="T18" s="1"/>
      <c r="U18" s="7"/>
      <c r="V18" s="1"/>
      <c r="W18" s="7"/>
      <c r="X18" s="1"/>
      <c r="Y18" s="1"/>
      <c r="Z18" s="1" t="s">
        <v>174</v>
      </c>
      <c r="AA18" s="4" t="s">
        <v>1302</v>
      </c>
    </row>
    <row r="19" spans="1:27" s="12" customFormat="1" ht="13">
      <c r="A19" s="1"/>
      <c r="B19" s="1"/>
      <c r="C19" s="1" t="s">
        <v>1316</v>
      </c>
      <c r="D19" s="1" t="s">
        <v>1317</v>
      </c>
      <c r="E19" s="9" t="s">
        <v>1098</v>
      </c>
      <c r="F19" s="1" t="s">
        <v>707</v>
      </c>
      <c r="G19" s="1" t="s">
        <v>186</v>
      </c>
      <c r="H19" s="1" t="s">
        <v>1300</v>
      </c>
      <c r="I19" s="1"/>
      <c r="J19" s="1" t="s">
        <v>929</v>
      </c>
      <c r="K19" s="3" t="s">
        <v>153</v>
      </c>
      <c r="L19" s="22">
        <v>2013</v>
      </c>
      <c r="M19" s="1" t="s">
        <v>1318</v>
      </c>
      <c r="N19" s="22">
        <v>2012</v>
      </c>
      <c r="O19" s="9" t="s">
        <v>1323</v>
      </c>
      <c r="P19" s="10"/>
      <c r="Q19" s="10"/>
      <c r="R19" s="1"/>
      <c r="S19" s="1"/>
      <c r="T19" s="1"/>
      <c r="U19" s="7"/>
      <c r="V19" s="1"/>
      <c r="W19" s="7"/>
      <c r="X19" s="1"/>
      <c r="Y19" s="1"/>
      <c r="Z19" s="1" t="s">
        <v>174</v>
      </c>
      <c r="AA19" s="4" t="s">
        <v>1302</v>
      </c>
    </row>
    <row r="20" spans="1:27" s="12" customFormat="1" ht="13">
      <c r="A20" s="1"/>
      <c r="B20" s="1"/>
      <c r="C20" s="1" t="s">
        <v>1316</v>
      </c>
      <c r="D20" s="1" t="s">
        <v>1317</v>
      </c>
      <c r="E20" s="9" t="s">
        <v>1098</v>
      </c>
      <c r="F20" s="1" t="s">
        <v>707</v>
      </c>
      <c r="G20" s="1" t="s">
        <v>186</v>
      </c>
      <c r="H20" s="1" t="s">
        <v>1300</v>
      </c>
      <c r="I20" s="1"/>
      <c r="J20" s="1" t="s">
        <v>929</v>
      </c>
      <c r="K20" s="3" t="s">
        <v>153</v>
      </c>
      <c r="L20" s="22">
        <v>2013</v>
      </c>
      <c r="M20" s="1" t="s">
        <v>1318</v>
      </c>
      <c r="N20" s="22">
        <v>2012</v>
      </c>
      <c r="O20" s="9" t="s">
        <v>1304</v>
      </c>
      <c r="P20" s="10"/>
      <c r="Q20" s="10"/>
      <c r="R20" s="1"/>
      <c r="S20" s="1"/>
      <c r="T20" s="1"/>
      <c r="U20" s="7"/>
      <c r="V20" s="1"/>
      <c r="W20" s="7"/>
      <c r="X20" s="1"/>
      <c r="Y20" s="1"/>
      <c r="Z20" s="1" t="s">
        <v>174</v>
      </c>
      <c r="AA20" s="4" t="s">
        <v>1302</v>
      </c>
    </row>
    <row r="21" spans="1:27" s="12" customFormat="1" ht="13">
      <c r="A21" s="1"/>
      <c r="B21" s="1"/>
      <c r="C21" s="1" t="s">
        <v>1316</v>
      </c>
      <c r="D21" s="1" t="s">
        <v>1317</v>
      </c>
      <c r="E21" s="9" t="s">
        <v>1098</v>
      </c>
      <c r="F21" s="8" t="s">
        <v>1324</v>
      </c>
      <c r="G21" s="8" t="s">
        <v>186</v>
      </c>
      <c r="H21" s="1" t="s">
        <v>150</v>
      </c>
      <c r="I21" s="1"/>
      <c r="J21" s="1" t="s">
        <v>929</v>
      </c>
      <c r="K21" s="3" t="s">
        <v>167</v>
      </c>
      <c r="L21" s="22">
        <v>2013</v>
      </c>
      <c r="M21" s="1" t="s">
        <v>1318</v>
      </c>
      <c r="N21" s="22">
        <v>2012</v>
      </c>
      <c r="O21" s="9" t="s">
        <v>1325</v>
      </c>
      <c r="P21" s="10"/>
      <c r="Q21" s="10"/>
      <c r="R21" s="1"/>
      <c r="S21" s="1"/>
      <c r="T21" s="1"/>
      <c r="U21" s="7"/>
      <c r="V21" s="1"/>
      <c r="W21" s="7"/>
      <c r="X21" s="1"/>
      <c r="Y21" s="1"/>
      <c r="Z21" s="1" t="s">
        <v>174</v>
      </c>
      <c r="AA21" s="4" t="s">
        <v>1302</v>
      </c>
    </row>
    <row r="22" spans="1:27" s="1" customFormat="1" ht="13">
      <c r="C22" s="1" t="s">
        <v>1316</v>
      </c>
      <c r="D22" s="1" t="s">
        <v>1317</v>
      </c>
      <c r="E22" s="9" t="s">
        <v>1098</v>
      </c>
      <c r="F22" s="8" t="s">
        <v>1324</v>
      </c>
      <c r="G22" s="8" t="s">
        <v>186</v>
      </c>
      <c r="H22" s="1" t="s">
        <v>150</v>
      </c>
      <c r="J22" s="1" t="s">
        <v>929</v>
      </c>
      <c r="K22" s="3" t="s">
        <v>167</v>
      </c>
      <c r="L22" s="22">
        <v>2013</v>
      </c>
      <c r="M22" s="1" t="s">
        <v>1318</v>
      </c>
      <c r="N22" s="22">
        <v>2012</v>
      </c>
      <c r="O22" s="9" t="s">
        <v>1326</v>
      </c>
      <c r="P22" s="10"/>
      <c r="Q22" s="10"/>
      <c r="U22" s="7"/>
      <c r="W22" s="7"/>
      <c r="Z22" s="1" t="s">
        <v>161</v>
      </c>
      <c r="AA22" s="4" t="s">
        <v>1302</v>
      </c>
    </row>
    <row r="23" spans="1:27" s="1" customFormat="1" ht="13">
      <c r="C23" s="1" t="s">
        <v>1316</v>
      </c>
      <c r="D23" s="1" t="s">
        <v>1317</v>
      </c>
      <c r="E23" s="9" t="s">
        <v>1098</v>
      </c>
      <c r="F23" s="8" t="s">
        <v>1324</v>
      </c>
      <c r="G23" s="8" t="s">
        <v>186</v>
      </c>
      <c r="H23" s="1" t="s">
        <v>150</v>
      </c>
      <c r="K23" s="3" t="s">
        <v>153</v>
      </c>
      <c r="L23" s="22">
        <v>2013</v>
      </c>
      <c r="M23" s="1" t="s">
        <v>1318</v>
      </c>
      <c r="N23" s="22">
        <v>2012</v>
      </c>
      <c r="O23" s="9" t="s">
        <v>1327</v>
      </c>
      <c r="P23" s="10"/>
      <c r="Q23" s="10"/>
      <c r="U23" s="7"/>
      <c r="W23" s="7"/>
      <c r="Z23" s="1" t="s">
        <v>161</v>
      </c>
      <c r="AA23" s="4" t="s">
        <v>1302</v>
      </c>
    </row>
    <row r="24" spans="1:27" s="1" customFormat="1" ht="13">
      <c r="C24" s="1" t="s">
        <v>1316</v>
      </c>
      <c r="D24" s="1" t="s">
        <v>1317</v>
      </c>
      <c r="E24" s="9" t="s">
        <v>1098</v>
      </c>
      <c r="F24" s="8" t="s">
        <v>1324</v>
      </c>
      <c r="G24" s="8" t="s">
        <v>186</v>
      </c>
      <c r="H24" s="1" t="s">
        <v>150</v>
      </c>
      <c r="K24" s="3" t="s">
        <v>153</v>
      </c>
      <c r="L24" s="22">
        <v>2013</v>
      </c>
      <c r="M24" s="1" t="s">
        <v>1318</v>
      </c>
      <c r="N24" s="22">
        <v>2012</v>
      </c>
      <c r="O24" s="9" t="s">
        <v>1304</v>
      </c>
      <c r="P24" s="10"/>
      <c r="Q24" s="10"/>
      <c r="U24" s="7"/>
      <c r="W24" s="7"/>
      <c r="Z24" s="1" t="s">
        <v>161</v>
      </c>
      <c r="AA24" s="4" t="s">
        <v>1302</v>
      </c>
    </row>
    <row r="25" spans="1:27" s="1" customFormat="1" ht="13">
      <c r="C25" s="1" t="s">
        <v>1328</v>
      </c>
      <c r="D25" s="1" t="s">
        <v>1329</v>
      </c>
      <c r="E25" s="9" t="s">
        <v>1098</v>
      </c>
      <c r="F25" s="8" t="s">
        <v>719</v>
      </c>
      <c r="G25" s="8" t="s">
        <v>183</v>
      </c>
      <c r="H25" s="1" t="s">
        <v>186</v>
      </c>
      <c r="K25" s="3"/>
      <c r="L25" s="22">
        <v>2015</v>
      </c>
      <c r="M25" s="1" t="s">
        <v>1318</v>
      </c>
      <c r="N25" s="22">
        <v>2013</v>
      </c>
      <c r="O25" s="9" t="s">
        <v>1304</v>
      </c>
      <c r="P25" s="10"/>
      <c r="Q25" s="10"/>
      <c r="U25" s="7"/>
      <c r="W25" s="7"/>
      <c r="Z25" s="1" t="s">
        <v>161</v>
      </c>
      <c r="AA25" s="4" t="s">
        <v>1302</v>
      </c>
    </row>
    <row r="26" spans="1:27" s="1" customFormat="1" ht="13">
      <c r="C26" s="1" t="s">
        <v>1330</v>
      </c>
      <c r="D26" s="1" t="s">
        <v>1331</v>
      </c>
      <c r="E26" s="1" t="s">
        <v>1332</v>
      </c>
      <c r="F26" s="1" t="s">
        <v>698</v>
      </c>
      <c r="G26" s="1" t="s">
        <v>150</v>
      </c>
      <c r="H26" s="1" t="s">
        <v>1300</v>
      </c>
      <c r="K26" s="3"/>
      <c r="L26" s="22">
        <v>2010</v>
      </c>
      <c r="M26" s="1" t="s">
        <v>699</v>
      </c>
      <c r="N26" s="22">
        <v>2009</v>
      </c>
      <c r="O26" s="9" t="s">
        <v>1333</v>
      </c>
      <c r="P26" s="10"/>
      <c r="Q26" s="10"/>
      <c r="U26" s="20"/>
      <c r="W26" s="20"/>
      <c r="Z26" s="1" t="s">
        <v>174</v>
      </c>
      <c r="AA26" s="4" t="s">
        <v>1302</v>
      </c>
    </row>
    <row r="27" spans="1:27" s="1" customFormat="1" ht="13">
      <c r="C27" s="1" t="s">
        <v>1330</v>
      </c>
      <c r="D27" s="1" t="s">
        <v>1331</v>
      </c>
      <c r="E27" s="1" t="s">
        <v>1332</v>
      </c>
      <c r="F27" s="1" t="s">
        <v>698</v>
      </c>
      <c r="G27" s="1" t="s">
        <v>150</v>
      </c>
      <c r="H27" s="1" t="s">
        <v>1300</v>
      </c>
      <c r="K27" s="3"/>
      <c r="L27" s="22">
        <v>2010</v>
      </c>
      <c r="M27" s="1" t="s">
        <v>699</v>
      </c>
      <c r="N27" s="22">
        <v>2009</v>
      </c>
      <c r="O27" s="1" t="s">
        <v>1334</v>
      </c>
      <c r="P27" s="10"/>
      <c r="Q27" s="10"/>
      <c r="U27" s="20"/>
      <c r="W27" s="20"/>
      <c r="Z27" s="1" t="s">
        <v>174</v>
      </c>
      <c r="AA27" s="4" t="s">
        <v>1302</v>
      </c>
    </row>
    <row r="28" spans="1:27" s="1" customFormat="1" ht="13">
      <c r="C28" s="1" t="s">
        <v>1335</v>
      </c>
      <c r="D28" s="1" t="s">
        <v>1336</v>
      </c>
      <c r="E28" s="1" t="s">
        <v>1332</v>
      </c>
      <c r="F28" s="8" t="s">
        <v>719</v>
      </c>
      <c r="G28" s="8" t="s">
        <v>183</v>
      </c>
      <c r="H28" s="1" t="s">
        <v>186</v>
      </c>
      <c r="K28" s="3"/>
      <c r="L28" s="22">
        <v>2018</v>
      </c>
      <c r="M28" s="1" t="s">
        <v>699</v>
      </c>
      <c r="N28" s="22">
        <v>2015</v>
      </c>
      <c r="O28" s="1" t="s">
        <v>1304</v>
      </c>
      <c r="P28" s="10"/>
      <c r="Q28" s="10"/>
      <c r="U28" s="20"/>
      <c r="W28" s="20"/>
      <c r="Z28" s="1" t="s">
        <v>174</v>
      </c>
      <c r="AA28" s="4" t="s">
        <v>1302</v>
      </c>
    </row>
    <row r="29" spans="1:27" s="1" customFormat="1" ht="13">
      <c r="C29" s="1" t="s">
        <v>1337</v>
      </c>
      <c r="D29" s="1" t="s">
        <v>1338</v>
      </c>
      <c r="E29" s="9" t="s">
        <v>1145</v>
      </c>
      <c r="F29" s="1" t="s">
        <v>698</v>
      </c>
      <c r="G29" s="1" t="s">
        <v>150</v>
      </c>
      <c r="H29" s="1" t="s">
        <v>1300</v>
      </c>
      <c r="L29" s="22">
        <v>2011</v>
      </c>
      <c r="M29" s="1" t="s">
        <v>699</v>
      </c>
      <c r="N29" s="23">
        <v>2010</v>
      </c>
      <c r="O29" s="1" t="s">
        <v>1339</v>
      </c>
      <c r="P29" s="10">
        <f>(5562+43275)/2</f>
        <v>24418.5</v>
      </c>
      <c r="Q29" s="11"/>
      <c r="U29" s="20"/>
      <c r="W29" s="20"/>
      <c r="Z29" s="1" t="s">
        <v>174</v>
      </c>
      <c r="AA29" s="4" t="s">
        <v>1302</v>
      </c>
    </row>
    <row r="30" spans="1:27" s="1" customFormat="1" ht="13">
      <c r="C30" s="1" t="s">
        <v>1337</v>
      </c>
      <c r="D30" s="1" t="s">
        <v>1338</v>
      </c>
      <c r="E30" s="9" t="s">
        <v>1145</v>
      </c>
      <c r="F30" s="1" t="s">
        <v>705</v>
      </c>
      <c r="G30" s="1" t="s">
        <v>183</v>
      </c>
      <c r="H30" s="1" t="s">
        <v>1300</v>
      </c>
      <c r="L30" s="22">
        <v>2011</v>
      </c>
      <c r="M30" s="1" t="s">
        <v>699</v>
      </c>
      <c r="N30" s="23">
        <v>2010</v>
      </c>
      <c r="O30" s="1" t="s">
        <v>1340</v>
      </c>
      <c r="P30" s="10">
        <v>45100</v>
      </c>
      <c r="Q30" s="11"/>
      <c r="U30" s="20"/>
      <c r="W30" s="20"/>
      <c r="Z30" s="1" t="s">
        <v>174</v>
      </c>
      <c r="AA30" s="4" t="s">
        <v>1302</v>
      </c>
    </row>
    <row r="31" spans="1:27" s="1" customFormat="1" ht="13">
      <c r="C31" s="1" t="s">
        <v>1337</v>
      </c>
      <c r="D31" s="1" t="s">
        <v>1338</v>
      </c>
      <c r="E31" s="9" t="s">
        <v>1145</v>
      </c>
      <c r="F31" s="1" t="s">
        <v>707</v>
      </c>
      <c r="G31" s="1" t="s">
        <v>186</v>
      </c>
      <c r="H31" s="1" t="s">
        <v>1300</v>
      </c>
      <c r="L31" s="22">
        <v>2011</v>
      </c>
      <c r="M31" s="1" t="s">
        <v>699</v>
      </c>
      <c r="N31" s="23">
        <v>2010</v>
      </c>
      <c r="O31" s="1" t="s">
        <v>1341</v>
      </c>
      <c r="P31" s="10">
        <v>37644</v>
      </c>
      <c r="Q31" s="11"/>
      <c r="U31" s="20"/>
      <c r="W31" s="20"/>
      <c r="Z31" s="1" t="s">
        <v>174</v>
      </c>
      <c r="AA31" s="4" t="s">
        <v>1302</v>
      </c>
    </row>
    <row r="32" spans="1:27" s="1" customFormat="1" ht="13">
      <c r="C32" s="1" t="s">
        <v>1342</v>
      </c>
      <c r="D32" s="1" t="s">
        <v>1343</v>
      </c>
      <c r="E32" s="1" t="s">
        <v>245</v>
      </c>
      <c r="F32" s="1" t="s">
        <v>707</v>
      </c>
      <c r="G32" s="1" t="s">
        <v>186</v>
      </c>
      <c r="H32" s="1" t="s">
        <v>1300</v>
      </c>
      <c r="K32" s="3"/>
      <c r="L32" s="22">
        <v>2018</v>
      </c>
      <c r="M32" s="1" t="s">
        <v>699</v>
      </c>
      <c r="N32" s="22">
        <v>2014</v>
      </c>
      <c r="O32" s="9" t="s">
        <v>1344</v>
      </c>
      <c r="P32" s="10"/>
      <c r="Q32" s="10"/>
      <c r="U32" s="7"/>
      <c r="W32" s="7"/>
      <c r="Z32" s="1" t="s">
        <v>174</v>
      </c>
      <c r="AA32" s="6" t="s">
        <v>1345</v>
      </c>
    </row>
    <row r="33" spans="1:36" s="1" customFormat="1" ht="13">
      <c r="C33" s="1" t="s">
        <v>1342</v>
      </c>
      <c r="D33" s="1" t="s">
        <v>1343</v>
      </c>
      <c r="E33" s="1" t="s">
        <v>245</v>
      </c>
      <c r="F33" s="1" t="s">
        <v>707</v>
      </c>
      <c r="G33" s="1" t="s">
        <v>186</v>
      </c>
      <c r="H33" s="1" t="s">
        <v>1300</v>
      </c>
      <c r="K33" s="3"/>
      <c r="L33" s="22">
        <v>2018</v>
      </c>
      <c r="M33" s="1" t="s">
        <v>699</v>
      </c>
      <c r="N33" s="22">
        <v>2014</v>
      </c>
      <c r="O33" s="9" t="s">
        <v>1346</v>
      </c>
      <c r="P33" s="10"/>
      <c r="Q33" s="10"/>
      <c r="U33" s="7"/>
      <c r="W33" s="7"/>
      <c r="Z33" s="1" t="s">
        <v>161</v>
      </c>
      <c r="AA33" s="6" t="s">
        <v>1345</v>
      </c>
    </row>
    <row r="34" spans="1:36" s="1" customFormat="1" ht="13">
      <c r="C34" s="1" t="s">
        <v>1347</v>
      </c>
      <c r="D34" s="1" t="s">
        <v>1348</v>
      </c>
      <c r="E34" s="1" t="s">
        <v>1349</v>
      </c>
      <c r="F34" s="1" t="s">
        <v>707</v>
      </c>
      <c r="G34" s="1" t="s">
        <v>186</v>
      </c>
      <c r="H34" s="1" t="s">
        <v>1300</v>
      </c>
      <c r="K34" s="3" t="s">
        <v>167</v>
      </c>
      <c r="L34" s="22">
        <v>2012</v>
      </c>
      <c r="M34" s="1" t="s">
        <v>699</v>
      </c>
      <c r="N34" s="22">
        <v>2009</v>
      </c>
      <c r="O34" s="9" t="s">
        <v>1350</v>
      </c>
      <c r="P34" s="10"/>
      <c r="Q34" s="10"/>
      <c r="U34" s="7"/>
      <c r="W34" s="7"/>
      <c r="Z34" s="1" t="s">
        <v>174</v>
      </c>
      <c r="AA34" s="6" t="s">
        <v>1345</v>
      </c>
    </row>
    <row r="35" spans="1:36" s="1" customFormat="1" ht="13">
      <c r="C35" s="1" t="s">
        <v>1347</v>
      </c>
      <c r="D35" s="1" t="s">
        <v>1348</v>
      </c>
      <c r="E35" s="1" t="s">
        <v>1349</v>
      </c>
      <c r="F35" s="1" t="s">
        <v>707</v>
      </c>
      <c r="G35" s="1" t="s">
        <v>186</v>
      </c>
      <c r="H35" s="1" t="s">
        <v>1300</v>
      </c>
      <c r="K35" s="3" t="s">
        <v>153</v>
      </c>
      <c r="L35" s="22">
        <v>2012</v>
      </c>
      <c r="M35" s="1" t="s">
        <v>699</v>
      </c>
      <c r="N35" s="22">
        <v>2009</v>
      </c>
      <c r="O35" s="9" t="s">
        <v>1351</v>
      </c>
      <c r="P35" s="10"/>
      <c r="Q35" s="10"/>
      <c r="U35" s="7"/>
      <c r="W35" s="7"/>
      <c r="Z35" s="1" t="s">
        <v>174</v>
      </c>
      <c r="AA35" s="6" t="s">
        <v>1345</v>
      </c>
    </row>
    <row r="36" spans="1:36" s="1" customFormat="1" ht="13">
      <c r="C36" s="1" t="s">
        <v>1347</v>
      </c>
      <c r="D36" s="1" t="s">
        <v>1348</v>
      </c>
      <c r="E36" s="1" t="s">
        <v>1349</v>
      </c>
      <c r="F36" s="1" t="s">
        <v>707</v>
      </c>
      <c r="G36" s="1" t="s">
        <v>186</v>
      </c>
      <c r="H36" s="1" t="s">
        <v>1300</v>
      </c>
      <c r="K36" s="3" t="s">
        <v>167</v>
      </c>
      <c r="L36" s="22">
        <v>2012</v>
      </c>
      <c r="M36" s="1" t="s">
        <v>699</v>
      </c>
      <c r="N36" s="22">
        <v>2009</v>
      </c>
      <c r="O36" s="9" t="s">
        <v>1352</v>
      </c>
      <c r="P36" s="10"/>
      <c r="Q36" s="10"/>
      <c r="U36" s="7"/>
      <c r="W36" s="7"/>
      <c r="Z36" s="1" t="s">
        <v>174</v>
      </c>
      <c r="AA36" s="6" t="s">
        <v>1345</v>
      </c>
    </row>
    <row r="37" spans="1:36" s="1" customFormat="1" ht="13">
      <c r="C37" s="1" t="s">
        <v>1347</v>
      </c>
      <c r="D37" s="1" t="s">
        <v>1348</v>
      </c>
      <c r="E37" s="1" t="s">
        <v>1349</v>
      </c>
      <c r="F37" s="1" t="s">
        <v>707</v>
      </c>
      <c r="G37" s="1" t="s">
        <v>186</v>
      </c>
      <c r="H37" s="1" t="s">
        <v>1300</v>
      </c>
      <c r="K37" s="3" t="s">
        <v>153</v>
      </c>
      <c r="L37" s="22">
        <v>2012</v>
      </c>
      <c r="M37" s="1" t="s">
        <v>699</v>
      </c>
      <c r="N37" s="22">
        <v>2009</v>
      </c>
      <c r="O37" s="9" t="s">
        <v>1353</v>
      </c>
      <c r="P37" s="10"/>
      <c r="Q37" s="10"/>
      <c r="U37" s="7"/>
      <c r="W37" s="7"/>
      <c r="Z37" s="1" t="s">
        <v>174</v>
      </c>
      <c r="AA37" s="6" t="s">
        <v>1345</v>
      </c>
    </row>
    <row r="38" spans="1:36" s="1" customFormat="1" ht="13">
      <c r="C38" s="1" t="s">
        <v>1354</v>
      </c>
      <c r="D38" s="1" t="s">
        <v>1355</v>
      </c>
      <c r="E38" s="1" t="s">
        <v>1349</v>
      </c>
      <c r="F38" s="1" t="s">
        <v>698</v>
      </c>
      <c r="G38" s="1" t="s">
        <v>150</v>
      </c>
      <c r="H38" s="1" t="s">
        <v>1300</v>
      </c>
      <c r="K38" s="3" t="s">
        <v>167</v>
      </c>
      <c r="L38" s="22">
        <v>2013</v>
      </c>
      <c r="M38" s="1" t="s">
        <v>1356</v>
      </c>
      <c r="N38" s="22">
        <v>2009</v>
      </c>
      <c r="O38" s="9" t="s">
        <v>1357</v>
      </c>
      <c r="P38" s="10"/>
      <c r="Q38" s="10"/>
      <c r="U38" s="7"/>
      <c r="W38" s="7"/>
      <c r="Z38" s="1" t="s">
        <v>174</v>
      </c>
      <c r="AA38" s="6" t="s">
        <v>1345</v>
      </c>
    </row>
    <row r="39" spans="1:36" s="1" customFormat="1" ht="13">
      <c r="C39" s="1" t="s">
        <v>1354</v>
      </c>
      <c r="D39" s="1" t="s">
        <v>1355</v>
      </c>
      <c r="E39" s="1" t="s">
        <v>1349</v>
      </c>
      <c r="F39" s="1" t="s">
        <v>698</v>
      </c>
      <c r="G39" s="1" t="s">
        <v>150</v>
      </c>
      <c r="H39" s="1" t="s">
        <v>1300</v>
      </c>
      <c r="K39" s="3" t="s">
        <v>153</v>
      </c>
      <c r="L39" s="22">
        <v>2013</v>
      </c>
      <c r="M39" s="1" t="s">
        <v>1356</v>
      </c>
      <c r="N39" s="22">
        <v>2009</v>
      </c>
      <c r="O39" s="9" t="s">
        <v>1358</v>
      </c>
      <c r="P39" s="10"/>
      <c r="Q39" s="10"/>
      <c r="U39" s="7"/>
      <c r="W39" s="7"/>
      <c r="Z39" s="1" t="s">
        <v>174</v>
      </c>
      <c r="AA39" s="6" t="s">
        <v>1345</v>
      </c>
    </row>
    <row r="40" spans="1:36" s="1" customFormat="1" ht="13">
      <c r="A40" s="12">
        <v>2</v>
      </c>
      <c r="B40" s="12">
        <v>1</v>
      </c>
      <c r="C40" s="12" t="s">
        <v>1359</v>
      </c>
      <c r="D40" s="12" t="s">
        <v>1360</v>
      </c>
      <c r="E40" s="25" t="s">
        <v>147</v>
      </c>
      <c r="F40" s="12" t="s">
        <v>698</v>
      </c>
      <c r="G40" s="12" t="s">
        <v>150</v>
      </c>
      <c r="H40" s="12" t="s">
        <v>1300</v>
      </c>
      <c r="I40" s="12" t="s">
        <v>148</v>
      </c>
      <c r="J40" s="12" t="s">
        <v>929</v>
      </c>
      <c r="K40" s="13" t="s">
        <v>167</v>
      </c>
      <c r="L40" s="24">
        <v>2014</v>
      </c>
      <c r="M40" s="12" t="s">
        <v>699</v>
      </c>
      <c r="N40" s="24">
        <v>2011</v>
      </c>
      <c r="O40" s="12" t="s">
        <v>1361</v>
      </c>
      <c r="P40" s="15">
        <v>6435</v>
      </c>
      <c r="Q40" s="15" t="e">
        <f>#REF!</f>
        <v>#REF!</v>
      </c>
      <c r="R40" s="12" t="e">
        <f>IF(P40&lt;Q40,"Cost-Effective","Not Cost-Effective")</f>
        <v>#REF!</v>
      </c>
      <c r="S40" s="12" t="e">
        <f>IF(P40&lt;Q40*3,"Cost-Effective","Not Cost-Effective")</f>
        <v>#REF!</v>
      </c>
      <c r="T40" s="17" t="e">
        <f>P40/Q40</f>
        <v>#REF!</v>
      </c>
      <c r="U40" s="19">
        <f>VLOOKUP(E40,thresholds!$A$2:$G$99,3,FALSE)</f>
        <v>0</v>
      </c>
      <c r="V40" s="12" t="e">
        <f>IF(T40&lt;U40,"Cost-Effective","Not Cost-Effective")</f>
        <v>#REF!</v>
      </c>
      <c r="W40" s="19">
        <f>VLOOKUP(E40,thresholds!$A$2:$G$99,5,FALSE)</f>
        <v>0.6481168977852142</v>
      </c>
      <c r="X40" s="12" t="e">
        <f>IF(T40&lt;W40,"Cost-Effective","Not Cost-Effective")</f>
        <v>#REF!</v>
      </c>
      <c r="Y40" s="25" t="s">
        <v>210</v>
      </c>
      <c r="Z40" s="12" t="s">
        <v>174</v>
      </c>
      <c r="AA40" s="14" t="s">
        <v>1362</v>
      </c>
      <c r="AB40" s="4" t="s">
        <v>1363</v>
      </c>
      <c r="AC40" s="1" t="s">
        <v>1364</v>
      </c>
    </row>
    <row r="41" spans="1:36" s="1" customFormat="1" ht="13">
      <c r="A41" s="12">
        <v>2</v>
      </c>
      <c r="B41" s="12">
        <v>2</v>
      </c>
      <c r="C41" s="12" t="s">
        <v>1359</v>
      </c>
      <c r="D41" s="12" t="s">
        <v>1360</v>
      </c>
      <c r="E41" s="25" t="s">
        <v>147</v>
      </c>
      <c r="F41" s="12" t="s">
        <v>698</v>
      </c>
      <c r="G41" s="12" t="s">
        <v>150</v>
      </c>
      <c r="H41" s="12" t="s">
        <v>1300</v>
      </c>
      <c r="I41" s="12" t="s">
        <v>157</v>
      </c>
      <c r="J41" s="12" t="s">
        <v>929</v>
      </c>
      <c r="K41" s="13" t="s">
        <v>167</v>
      </c>
      <c r="L41" s="24">
        <v>2014</v>
      </c>
      <c r="M41" s="12" t="s">
        <v>699</v>
      </c>
      <c r="N41" s="24">
        <v>2011</v>
      </c>
      <c r="O41" s="12" t="s">
        <v>1365</v>
      </c>
      <c r="P41" s="15">
        <v>376497</v>
      </c>
      <c r="Q41" s="15" t="e">
        <f>#REF!</f>
        <v>#REF!</v>
      </c>
      <c r="R41" s="12" t="e">
        <f>IF(P41&lt;Q41,"Cost-Effective","Not Cost-Effective")</f>
        <v>#REF!</v>
      </c>
      <c r="S41" s="12" t="e">
        <f>IF(P41&lt;Q41*3,"Cost-Effective","Not Cost-Effective")</f>
        <v>#REF!</v>
      </c>
      <c r="T41" s="17" t="e">
        <f>P41/Q41</f>
        <v>#REF!</v>
      </c>
      <c r="U41" s="19">
        <f>VLOOKUP(E41,thresholds!$A$2:$G$99,3,FALSE)</f>
        <v>0</v>
      </c>
      <c r="V41" s="12" t="e">
        <f>IF(T41&lt;U41,"Cost-Effective","Not Cost-Effective")</f>
        <v>#REF!</v>
      </c>
      <c r="W41" s="19">
        <f>VLOOKUP(E41,thresholds!$A$2:$G$99,5,FALSE)</f>
        <v>0.6481168977852142</v>
      </c>
      <c r="X41" s="12" t="e">
        <f>IF(T41&lt;W41,"Cost-Effective","Not Cost-Effective")</f>
        <v>#REF!</v>
      </c>
      <c r="Y41" s="25" t="s">
        <v>210</v>
      </c>
      <c r="Z41" s="12" t="s">
        <v>174</v>
      </c>
      <c r="AA41" s="14" t="s">
        <v>1362</v>
      </c>
      <c r="AB41" s="4" t="s">
        <v>1363</v>
      </c>
    </row>
    <row r="44" spans="1:36" s="1" customFormat="1" ht="13">
      <c r="A44" s="1" t="s">
        <v>1366</v>
      </c>
      <c r="B44" s="1" t="s">
        <v>1367</v>
      </c>
      <c r="C44" s="6" t="s">
        <v>1009</v>
      </c>
      <c r="D44" s="3" t="s">
        <v>809</v>
      </c>
      <c r="E44" s="1" t="s">
        <v>929</v>
      </c>
      <c r="F44" s="3">
        <v>2004</v>
      </c>
      <c r="G44" s="1" t="s">
        <v>1009</v>
      </c>
      <c r="H44" s="3">
        <v>1998</v>
      </c>
      <c r="I44" s="1" t="s">
        <v>929</v>
      </c>
      <c r="J44" s="3">
        <v>121100</v>
      </c>
      <c r="K44" s="3">
        <v>120968.21773556752</v>
      </c>
      <c r="L44" s="3">
        <v>52824.822999999997</v>
      </c>
      <c r="M44" s="3">
        <v>0</v>
      </c>
      <c r="N44" s="3">
        <v>0</v>
      </c>
      <c r="O44" s="3">
        <v>1</v>
      </c>
      <c r="P44" s="3">
        <v>0</v>
      </c>
      <c r="Q44" s="3">
        <v>0</v>
      </c>
      <c r="R44" s="3">
        <v>2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E44" s="3"/>
      <c r="AF44" s="3"/>
      <c r="AG44" s="3"/>
      <c r="AH44" s="3"/>
      <c r="AI44" s="3"/>
      <c r="AJ44" s="3"/>
    </row>
    <row r="45" spans="1:36" s="1" customFormat="1" ht="13">
      <c r="A45" s="1" t="s">
        <v>1368</v>
      </c>
      <c r="B45" s="1" t="s">
        <v>1369</v>
      </c>
      <c r="C45" s="5" t="s">
        <v>1095</v>
      </c>
      <c r="D45" s="3" t="s">
        <v>1370</v>
      </c>
      <c r="E45" s="1" t="s">
        <v>929</v>
      </c>
      <c r="F45" s="3">
        <v>2009</v>
      </c>
      <c r="G45" s="1" t="s">
        <v>578</v>
      </c>
      <c r="H45" s="3">
        <v>2005</v>
      </c>
      <c r="I45" s="1" t="s">
        <v>929</v>
      </c>
      <c r="J45" s="3">
        <v>51727</v>
      </c>
      <c r="K45" s="3">
        <v>85333.998130426669</v>
      </c>
      <c r="L45" s="3">
        <v>31288.019</v>
      </c>
      <c r="M45" s="3">
        <v>0</v>
      </c>
      <c r="N45" s="3">
        <v>0</v>
      </c>
      <c r="O45" s="3">
        <v>1</v>
      </c>
      <c r="P45" s="3">
        <v>0</v>
      </c>
      <c r="Q45" s="3">
        <v>0</v>
      </c>
      <c r="R45" s="3">
        <v>2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E45" s="3"/>
      <c r="AF45" s="3"/>
      <c r="AG45" s="3"/>
      <c r="AH45" s="3"/>
      <c r="AI45" s="3"/>
      <c r="AJ45" s="3"/>
    </row>
    <row r="46" spans="1:36" s="1" customFormat="1" ht="13">
      <c r="C46" s="5"/>
      <c r="D46" s="3"/>
      <c r="F46" s="3"/>
      <c r="H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E46" s="3"/>
      <c r="AF46" s="3"/>
      <c r="AG46" s="3"/>
      <c r="AH46" s="3"/>
      <c r="AI46" s="3"/>
      <c r="AJ46" s="3"/>
    </row>
    <row r="47" spans="1:36" s="1" customFormat="1" ht="13">
      <c r="C47" s="5"/>
      <c r="D47" s="3"/>
      <c r="F47" s="3"/>
      <c r="H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E47" s="3"/>
      <c r="AF47" s="3"/>
      <c r="AG47" s="3"/>
      <c r="AH47" s="3"/>
      <c r="AI47" s="3"/>
      <c r="AJ47" s="3"/>
    </row>
    <row r="49" spans="1:31" s="37" customFormat="1" ht="12.75" customHeight="1">
      <c r="A49" s="36" t="s">
        <v>653</v>
      </c>
      <c r="B49" s="36" t="s">
        <v>668</v>
      </c>
      <c r="C49" s="37" t="s">
        <v>1</v>
      </c>
      <c r="D49" s="36" t="s">
        <v>2</v>
      </c>
      <c r="E49" s="37" t="s">
        <v>3</v>
      </c>
      <c r="F49" s="37" t="s">
        <v>648</v>
      </c>
      <c r="G49" s="37" t="s">
        <v>670</v>
      </c>
      <c r="H49" s="36" t="s">
        <v>671</v>
      </c>
      <c r="I49" s="36" t="s">
        <v>672</v>
      </c>
      <c r="J49" s="36" t="s">
        <v>1371</v>
      </c>
      <c r="K49" s="36" t="s">
        <v>674</v>
      </c>
      <c r="L49" s="36" t="s">
        <v>675</v>
      </c>
      <c r="M49" s="36" t="s">
        <v>1283</v>
      </c>
      <c r="N49" s="37" t="s">
        <v>676</v>
      </c>
      <c r="O49" s="37" t="s">
        <v>677</v>
      </c>
      <c r="P49" s="36" t="s">
        <v>678</v>
      </c>
      <c r="Q49" s="37" t="s">
        <v>679</v>
      </c>
      <c r="R49" s="37" t="s">
        <v>680</v>
      </c>
      <c r="S49" s="37" t="s">
        <v>681</v>
      </c>
      <c r="T49" s="38" t="s">
        <v>682</v>
      </c>
      <c r="U49" s="37" t="s">
        <v>683</v>
      </c>
      <c r="V49" s="37" t="s">
        <v>684</v>
      </c>
      <c r="W49" s="37" t="s">
        <v>685</v>
      </c>
      <c r="X49" s="39" t="s">
        <v>1372</v>
      </c>
      <c r="Y49" s="37" t="s">
        <v>1373</v>
      </c>
      <c r="Z49" s="39" t="s">
        <v>1374</v>
      </c>
      <c r="AA49" s="37" t="s">
        <v>1375</v>
      </c>
      <c r="AB49" s="37" t="s">
        <v>694</v>
      </c>
      <c r="AC49" s="37" t="s">
        <v>695</v>
      </c>
      <c r="AD49" s="37" t="s">
        <v>1297</v>
      </c>
      <c r="AE49" s="37" t="s">
        <v>696</v>
      </c>
    </row>
    <row r="50" spans="1:31" s="30" customFormat="1" ht="12.75" customHeight="1">
      <c r="A50" s="40">
        <f>IF(E50=data!F59,data!A59,data!A59+1)</f>
        <v>18</v>
      </c>
      <c r="B50" s="40">
        <f>IF(E50=data!F59,data!B59+1,1)</f>
        <v>1</v>
      </c>
      <c r="C50" s="30" t="s">
        <v>1376</v>
      </c>
      <c r="D50" s="33">
        <v>2005</v>
      </c>
      <c r="E50" s="30" t="s">
        <v>1377</v>
      </c>
      <c r="F50" s="30" t="s">
        <v>1149</v>
      </c>
      <c r="G50" s="44" t="s">
        <v>1378</v>
      </c>
      <c r="H50" s="40" t="s">
        <v>150</v>
      </c>
      <c r="I50" s="40" t="s">
        <v>151</v>
      </c>
      <c r="J50" s="40" t="s">
        <v>166</v>
      </c>
      <c r="K50" s="40">
        <v>4</v>
      </c>
      <c r="L50" s="40" t="s">
        <v>157</v>
      </c>
      <c r="M50" s="40"/>
      <c r="N50" s="30" t="s">
        <v>153</v>
      </c>
      <c r="O50" s="30" t="s">
        <v>892</v>
      </c>
      <c r="P50" s="40">
        <v>2000</v>
      </c>
      <c r="Q50" s="30" t="s">
        <v>1379</v>
      </c>
      <c r="R50" s="35">
        <v>44307</v>
      </c>
      <c r="S50" s="43">
        <f>R50/xRates!$F$228</f>
        <v>40922.50120941185</v>
      </c>
      <c r="T50" s="32">
        <f t="shared" ref="T50:T58" si="0">VLOOKUP(F50,gdppc,P50-1958,FALSE)</f>
        <v>14713.065710000001</v>
      </c>
      <c r="U50" s="30" t="str">
        <f t="shared" ref="U50:U58" si="1">IF(S50&lt;T50,"Cost-Effective","Not Cost-Effective")</f>
        <v>Not Cost-Effective</v>
      </c>
      <c r="V50" s="30" t="str">
        <f t="shared" ref="V50:V58" si="2">IF(S50&lt;T50*3,"Cost-Effective","Not Cost-Effective")</f>
        <v>Cost-Effective</v>
      </c>
      <c r="W50" s="41">
        <f t="shared" ref="W50:W58" si="3">S50/T50</f>
        <v>2.7813714705017687</v>
      </c>
      <c r="X50" s="42">
        <f t="shared" ref="X50:X58" si="4">IFERROR(VLOOKUP(F50,ochalek,11,FALSE),0)</f>
        <v>0</v>
      </c>
      <c r="Y50" s="30" t="str">
        <f t="shared" ref="Y50:Y58" si="5">IF( W50&lt;X50, "Cost-Effective", IF( W50-X50=W50, "No Threshold", "Not Cost-Effective"))</f>
        <v>No Threshold</v>
      </c>
      <c r="Z50" s="42">
        <f t="shared" ref="Z50:Z58" si="6">IFERROR(VLOOKUP(F50,woods,6,FALSE),0)</f>
        <v>0.534454287641699</v>
      </c>
      <c r="AA50" s="30" t="str">
        <f t="shared" ref="AA50:AA58" si="7">IF( W50&lt;Z50, "Cost-Effective", IF( W50-Z50=W50, "No Threshold", "Not Cost-Effective"))</f>
        <v>Not Cost-Effective</v>
      </c>
    </row>
    <row r="51" spans="1:31" s="30" customFormat="1" ht="12.75" customHeight="1">
      <c r="A51" s="40">
        <f>IF(E51=E50,A50,A50+1)</f>
        <v>18</v>
      </c>
      <c r="B51" s="40">
        <f>IF(E51=E50,B50+1,1)</f>
        <v>2</v>
      </c>
      <c r="C51" s="30" t="s">
        <v>1376</v>
      </c>
      <c r="D51" s="33">
        <v>2005</v>
      </c>
      <c r="E51" s="30" t="s">
        <v>1377</v>
      </c>
      <c r="F51" s="30" t="s">
        <v>1149</v>
      </c>
      <c r="G51" s="44" t="s">
        <v>1378</v>
      </c>
      <c r="H51" s="40" t="s">
        <v>150</v>
      </c>
      <c r="I51" s="40" t="s">
        <v>151</v>
      </c>
      <c r="J51" s="40" t="s">
        <v>166</v>
      </c>
      <c r="K51" s="40">
        <v>4</v>
      </c>
      <c r="L51" s="40" t="s">
        <v>157</v>
      </c>
      <c r="M51" s="40"/>
      <c r="N51" s="30" t="s">
        <v>167</v>
      </c>
      <c r="O51" s="30" t="s">
        <v>892</v>
      </c>
      <c r="P51" s="40">
        <v>2000</v>
      </c>
      <c r="Q51" s="30" t="s">
        <v>1380</v>
      </c>
      <c r="R51" s="35">
        <v>80291</v>
      </c>
      <c r="S51" s="43">
        <f>R51/xRates!$F$228</f>
        <v>74157.775173333488</v>
      </c>
      <c r="T51" s="32">
        <f t="shared" si="0"/>
        <v>14713.065710000001</v>
      </c>
      <c r="U51" s="30" t="str">
        <f t="shared" si="1"/>
        <v>Not Cost-Effective</v>
      </c>
      <c r="V51" s="30" t="str">
        <f t="shared" si="2"/>
        <v>Not Cost-Effective</v>
      </c>
      <c r="W51" s="41">
        <f t="shared" si="3"/>
        <v>5.0402667013803129</v>
      </c>
      <c r="X51" s="42">
        <f t="shared" si="4"/>
        <v>0</v>
      </c>
      <c r="Y51" s="30" t="str">
        <f t="shared" si="5"/>
        <v>No Threshold</v>
      </c>
      <c r="Z51" s="42">
        <f t="shared" si="6"/>
        <v>0.534454287641699</v>
      </c>
      <c r="AA51" s="30" t="str">
        <f t="shared" si="7"/>
        <v>Not Cost-Effective</v>
      </c>
      <c r="AD51" s="30" t="s">
        <v>1381</v>
      </c>
    </row>
    <row r="52" spans="1:31" s="30" customFormat="1" ht="12.75" customHeight="1">
      <c r="A52" s="40">
        <f>IF(E52=data!F60,data!A60,data!A60+1)</f>
        <v>18</v>
      </c>
      <c r="B52" s="40">
        <f>IF(E52=data!F60,data!B60+1,1)</f>
        <v>2</v>
      </c>
      <c r="C52" s="30" t="s">
        <v>66</v>
      </c>
      <c r="D52" s="33">
        <v>2008</v>
      </c>
      <c r="E52" s="30" t="s">
        <v>329</v>
      </c>
      <c r="F52" s="30" t="s">
        <v>1037</v>
      </c>
      <c r="G52" s="44" t="s">
        <v>755</v>
      </c>
      <c r="H52" s="40" t="s">
        <v>150</v>
      </c>
      <c r="I52" s="40" t="s">
        <v>1382</v>
      </c>
      <c r="J52" s="40" t="s">
        <v>331</v>
      </c>
      <c r="K52" s="40">
        <v>3</v>
      </c>
      <c r="L52" s="40" t="s">
        <v>157</v>
      </c>
      <c r="M52" s="40"/>
      <c r="N52" s="30" t="s">
        <v>153</v>
      </c>
      <c r="O52" s="30" t="s">
        <v>699</v>
      </c>
      <c r="P52" s="40">
        <v>2004</v>
      </c>
      <c r="Q52" s="30" t="s">
        <v>1383</v>
      </c>
      <c r="R52" s="35">
        <f t="shared" ref="R52:R58" si="8">S52</f>
        <v>2019</v>
      </c>
      <c r="S52" s="43">
        <v>2019</v>
      </c>
      <c r="T52" s="32">
        <f t="shared" si="0"/>
        <v>6194.8527199999999</v>
      </c>
      <c r="U52" s="30" t="str">
        <f t="shared" si="1"/>
        <v>Cost-Effective</v>
      </c>
      <c r="V52" s="30" t="str">
        <f t="shared" si="2"/>
        <v>Cost-Effective</v>
      </c>
      <c r="W52" s="41">
        <f t="shared" si="3"/>
        <v>0.32591573863922307</v>
      </c>
      <c r="X52" s="42">
        <f t="shared" si="4"/>
        <v>0</v>
      </c>
      <c r="Y52" s="30" t="str">
        <f t="shared" si="5"/>
        <v>No Threshold</v>
      </c>
      <c r="Z52" s="42">
        <f t="shared" si="6"/>
        <v>0.59559665657635663</v>
      </c>
      <c r="AA52" s="30" t="str">
        <f t="shared" si="7"/>
        <v>Cost-Effective</v>
      </c>
    </row>
    <row r="53" spans="1:31" s="30" customFormat="1" ht="12.75" customHeight="1">
      <c r="A53" s="40" t="e">
        <f>IF(E53=data!#REF!,data!#REF!,data!#REF!+1)</f>
        <v>#REF!</v>
      </c>
      <c r="B53" s="40" t="e">
        <f>IF(E53=data!#REF!,data!#REF!+1,1)</f>
        <v>#REF!</v>
      </c>
      <c r="C53" s="30" t="s">
        <v>1384</v>
      </c>
      <c r="D53" s="45">
        <v>2015</v>
      </c>
      <c r="E53" s="30" t="s">
        <v>1385</v>
      </c>
      <c r="F53" s="30" t="s">
        <v>1046</v>
      </c>
      <c r="G53" s="46" t="s">
        <v>1386</v>
      </c>
      <c r="H53" s="47" t="s">
        <v>183</v>
      </c>
      <c r="I53" s="47" t="s">
        <v>151</v>
      </c>
      <c r="J53" s="47" t="s">
        <v>1387</v>
      </c>
      <c r="K53" s="40">
        <v>3</v>
      </c>
      <c r="L53" s="47" t="s">
        <v>157</v>
      </c>
      <c r="M53" s="47"/>
      <c r="N53" s="48" t="s">
        <v>167</v>
      </c>
      <c r="O53" s="48" t="s">
        <v>699</v>
      </c>
      <c r="P53" s="47">
        <v>2014</v>
      </c>
      <c r="Q53" s="48" t="s">
        <v>1388</v>
      </c>
      <c r="R53" s="35">
        <f t="shared" si="8"/>
        <v>75467</v>
      </c>
      <c r="S53" s="43">
        <v>75467</v>
      </c>
      <c r="T53" s="32">
        <f t="shared" si="0"/>
        <v>13762.372859999999</v>
      </c>
      <c r="U53" s="30" t="str">
        <f t="shared" si="1"/>
        <v>Not Cost-Effective</v>
      </c>
      <c r="V53" s="30" t="str">
        <f t="shared" si="2"/>
        <v>Not Cost-Effective</v>
      </c>
      <c r="W53" s="41">
        <f t="shared" si="3"/>
        <v>5.4835747270983326</v>
      </c>
      <c r="X53" s="42">
        <f t="shared" si="4"/>
        <v>0</v>
      </c>
      <c r="Y53" s="30" t="str">
        <f t="shared" si="5"/>
        <v>No Threshold</v>
      </c>
      <c r="Z53" s="42">
        <f t="shared" si="6"/>
        <v>0.58542832106625986</v>
      </c>
      <c r="AA53" s="30" t="str">
        <f t="shared" si="7"/>
        <v>Not Cost-Effective</v>
      </c>
      <c r="AD53" s="30" t="s">
        <v>1362</v>
      </c>
    </row>
    <row r="54" spans="1:31" s="30" customFormat="1" ht="12.75" customHeight="1">
      <c r="A54" s="40" t="e">
        <f>IF(E54=E53,A53,A53+1)</f>
        <v>#REF!</v>
      </c>
      <c r="B54" s="40" t="e">
        <f>IF(E54=E53,B53+1,1)</f>
        <v>#REF!</v>
      </c>
      <c r="C54" s="30" t="s">
        <v>1384</v>
      </c>
      <c r="D54" s="45">
        <v>2015</v>
      </c>
      <c r="E54" s="30" t="s">
        <v>1385</v>
      </c>
      <c r="F54" s="30" t="s">
        <v>1046</v>
      </c>
      <c r="G54" s="46" t="s">
        <v>1386</v>
      </c>
      <c r="H54" s="47" t="s">
        <v>183</v>
      </c>
      <c r="I54" s="47" t="s">
        <v>151</v>
      </c>
      <c r="J54" s="47" t="s">
        <v>1387</v>
      </c>
      <c r="K54" s="40">
        <v>3</v>
      </c>
      <c r="L54" s="47" t="s">
        <v>157</v>
      </c>
      <c r="M54" s="47"/>
      <c r="N54" s="48" t="s">
        <v>153</v>
      </c>
      <c r="O54" s="48" t="s">
        <v>699</v>
      </c>
      <c r="P54" s="47">
        <v>2014</v>
      </c>
      <c r="Q54" s="48" t="s">
        <v>1389</v>
      </c>
      <c r="R54" s="35">
        <f t="shared" si="8"/>
        <v>77000</v>
      </c>
      <c r="S54" s="43">
        <v>77000</v>
      </c>
      <c r="T54" s="32">
        <f t="shared" si="0"/>
        <v>13762.372859999999</v>
      </c>
      <c r="U54" s="30" t="str">
        <f t="shared" si="1"/>
        <v>Not Cost-Effective</v>
      </c>
      <c r="V54" s="30" t="str">
        <f t="shared" si="2"/>
        <v>Not Cost-Effective</v>
      </c>
      <c r="W54" s="41">
        <f t="shared" si="3"/>
        <v>5.5949654019183432</v>
      </c>
      <c r="X54" s="42">
        <f t="shared" si="4"/>
        <v>0</v>
      </c>
      <c r="Y54" s="30" t="str">
        <f t="shared" si="5"/>
        <v>No Threshold</v>
      </c>
      <c r="Z54" s="42">
        <f t="shared" si="6"/>
        <v>0.58542832106625986</v>
      </c>
      <c r="AA54" s="30" t="str">
        <f t="shared" si="7"/>
        <v>Not Cost-Effective</v>
      </c>
      <c r="AD54" s="30" t="s">
        <v>1362</v>
      </c>
    </row>
    <row r="55" spans="1:31" s="30" customFormat="1" ht="12.75" customHeight="1">
      <c r="A55" s="40" t="e">
        <f>IF(E55=E54,A54,A54+1)</f>
        <v>#REF!</v>
      </c>
      <c r="B55" s="40" t="e">
        <f>IF(E55=E54,B54+1,1)</f>
        <v>#REF!</v>
      </c>
      <c r="C55" s="30" t="s">
        <v>1384</v>
      </c>
      <c r="D55" s="45">
        <v>2015</v>
      </c>
      <c r="E55" s="30" t="s">
        <v>1385</v>
      </c>
      <c r="F55" s="30" t="s">
        <v>1046</v>
      </c>
      <c r="G55" s="46" t="s">
        <v>1390</v>
      </c>
      <c r="H55" s="47" t="s">
        <v>186</v>
      </c>
      <c r="I55" s="47" t="s">
        <v>151</v>
      </c>
      <c r="J55" s="47" t="s">
        <v>1387</v>
      </c>
      <c r="K55" s="40">
        <v>3</v>
      </c>
      <c r="L55" s="47" t="s">
        <v>157</v>
      </c>
      <c r="M55" s="47"/>
      <c r="N55" s="48" t="s">
        <v>167</v>
      </c>
      <c r="O55" s="48" t="s">
        <v>699</v>
      </c>
      <c r="P55" s="47">
        <v>2014</v>
      </c>
      <c r="Q55" s="48" t="s">
        <v>1391</v>
      </c>
      <c r="R55" s="35">
        <f t="shared" si="8"/>
        <v>76557</v>
      </c>
      <c r="S55" s="43">
        <v>76557</v>
      </c>
      <c r="T55" s="32">
        <f t="shared" si="0"/>
        <v>13762.372859999999</v>
      </c>
      <c r="U55" s="30" t="str">
        <f t="shared" si="1"/>
        <v>Not Cost-Effective</v>
      </c>
      <c r="V55" s="30" t="str">
        <f t="shared" si="2"/>
        <v>Not Cost-Effective</v>
      </c>
      <c r="W55" s="41">
        <f t="shared" si="3"/>
        <v>5.5627761853852293</v>
      </c>
      <c r="X55" s="42">
        <f t="shared" si="4"/>
        <v>0</v>
      </c>
      <c r="Y55" s="30" t="str">
        <f t="shared" si="5"/>
        <v>No Threshold</v>
      </c>
      <c r="Z55" s="42">
        <f t="shared" si="6"/>
        <v>0.58542832106625986</v>
      </c>
      <c r="AA55" s="30" t="str">
        <f t="shared" si="7"/>
        <v>Not Cost-Effective</v>
      </c>
    </row>
    <row r="56" spans="1:31" s="30" customFormat="1" ht="12.75" customHeight="1">
      <c r="A56" s="40" t="e">
        <f>IF(E56=E55,A55,A55+1)</f>
        <v>#REF!</v>
      </c>
      <c r="B56" s="40" t="e">
        <f>IF(E56=E55,B55+1,1)</f>
        <v>#REF!</v>
      </c>
      <c r="C56" s="30" t="s">
        <v>1384</v>
      </c>
      <c r="D56" s="45">
        <v>2015</v>
      </c>
      <c r="E56" s="30" t="s">
        <v>1385</v>
      </c>
      <c r="F56" s="30" t="s">
        <v>1046</v>
      </c>
      <c r="G56" s="46" t="s">
        <v>1390</v>
      </c>
      <c r="H56" s="47" t="s">
        <v>186</v>
      </c>
      <c r="I56" s="47" t="s">
        <v>151</v>
      </c>
      <c r="J56" s="47" t="s">
        <v>1387</v>
      </c>
      <c r="K56" s="40">
        <v>3</v>
      </c>
      <c r="L56" s="47" t="s">
        <v>157</v>
      </c>
      <c r="M56" s="47"/>
      <c r="N56" s="48" t="s">
        <v>153</v>
      </c>
      <c r="O56" s="48" t="s">
        <v>699</v>
      </c>
      <c r="P56" s="47">
        <v>2014</v>
      </c>
      <c r="Q56" s="48" t="s">
        <v>1392</v>
      </c>
      <c r="R56" s="35">
        <f t="shared" si="8"/>
        <v>69977</v>
      </c>
      <c r="S56" s="43">
        <v>69977</v>
      </c>
      <c r="T56" s="32">
        <f t="shared" si="0"/>
        <v>13762.372859999999</v>
      </c>
      <c r="U56" s="30" t="str">
        <f t="shared" si="1"/>
        <v>Not Cost-Effective</v>
      </c>
      <c r="V56" s="30" t="str">
        <f t="shared" si="2"/>
        <v>Not Cost-Effective</v>
      </c>
      <c r="W56" s="41">
        <f t="shared" si="3"/>
        <v>5.0846609601303889</v>
      </c>
      <c r="X56" s="42">
        <f t="shared" si="4"/>
        <v>0</v>
      </c>
      <c r="Y56" s="30" t="str">
        <f t="shared" si="5"/>
        <v>No Threshold</v>
      </c>
      <c r="Z56" s="42">
        <f t="shared" si="6"/>
        <v>0.58542832106625986</v>
      </c>
      <c r="AA56" s="30" t="str">
        <f t="shared" si="7"/>
        <v>Not Cost-Effective</v>
      </c>
    </row>
    <row r="57" spans="1:31" s="30" customFormat="1" ht="12.75" customHeight="1">
      <c r="A57" s="40" t="e">
        <f>IF(E57=E56,A56,A56+1)</f>
        <v>#REF!</v>
      </c>
      <c r="B57" s="40" t="e">
        <f>IF(E57=E56,B56+1,1)</f>
        <v>#REF!</v>
      </c>
      <c r="C57" s="30" t="s">
        <v>1384</v>
      </c>
      <c r="D57" s="45">
        <v>2015</v>
      </c>
      <c r="E57" s="30" t="s">
        <v>1385</v>
      </c>
      <c r="F57" s="30" t="s">
        <v>1046</v>
      </c>
      <c r="G57" s="46" t="s">
        <v>1390</v>
      </c>
      <c r="H57" s="47" t="s">
        <v>186</v>
      </c>
      <c r="I57" s="47" t="s">
        <v>183</v>
      </c>
      <c r="J57" s="47" t="s">
        <v>1387</v>
      </c>
      <c r="K57" s="40">
        <v>3</v>
      </c>
      <c r="L57" s="47" t="s">
        <v>157</v>
      </c>
      <c r="M57" s="47"/>
      <c r="N57" s="48" t="s">
        <v>167</v>
      </c>
      <c r="O57" s="48" t="s">
        <v>699</v>
      </c>
      <c r="P57" s="47">
        <v>2014</v>
      </c>
      <c r="Q57" s="48" t="s">
        <v>1393</v>
      </c>
      <c r="R57" s="35">
        <f t="shared" si="8"/>
        <v>83830</v>
      </c>
      <c r="S57" s="43">
        <v>83830</v>
      </c>
      <c r="T57" s="32">
        <f t="shared" si="0"/>
        <v>13762.372859999999</v>
      </c>
      <c r="U57" s="30" t="str">
        <f t="shared" si="1"/>
        <v>Not Cost-Effective</v>
      </c>
      <c r="V57" s="30" t="str">
        <f t="shared" si="2"/>
        <v>Not Cost-Effective</v>
      </c>
      <c r="W57" s="41">
        <f t="shared" si="3"/>
        <v>6.0912460992573338</v>
      </c>
      <c r="X57" s="42">
        <f t="shared" si="4"/>
        <v>0</v>
      </c>
      <c r="Y57" s="30" t="str">
        <f t="shared" si="5"/>
        <v>No Threshold</v>
      </c>
      <c r="Z57" s="42">
        <f t="shared" si="6"/>
        <v>0.58542832106625986</v>
      </c>
      <c r="AA57" s="30" t="str">
        <f t="shared" si="7"/>
        <v>Not Cost-Effective</v>
      </c>
    </row>
    <row r="58" spans="1:31" s="30" customFormat="1" ht="12.75" customHeight="1">
      <c r="A58" s="40" t="e">
        <f>IF(E58=E57,A57,A57+1)</f>
        <v>#REF!</v>
      </c>
      <c r="B58" s="40" t="e">
        <f>IF(E58=E57,B57+1,1)</f>
        <v>#REF!</v>
      </c>
      <c r="C58" s="30" t="s">
        <v>1384</v>
      </c>
      <c r="D58" s="45">
        <v>2015</v>
      </c>
      <c r="E58" s="30" t="s">
        <v>1385</v>
      </c>
      <c r="F58" s="30" t="s">
        <v>1046</v>
      </c>
      <c r="G58" s="46" t="s">
        <v>1390</v>
      </c>
      <c r="H58" s="47" t="s">
        <v>186</v>
      </c>
      <c r="I58" s="47" t="s">
        <v>183</v>
      </c>
      <c r="J58" s="47" t="s">
        <v>1387</v>
      </c>
      <c r="K58" s="40">
        <v>3</v>
      </c>
      <c r="L58" s="47" t="s">
        <v>157</v>
      </c>
      <c r="M58" s="47"/>
      <c r="N58" s="48" t="s">
        <v>153</v>
      </c>
      <c r="O58" s="48" t="s">
        <v>699</v>
      </c>
      <c r="P58" s="47">
        <v>2014</v>
      </c>
      <c r="Q58" s="48" t="s">
        <v>1394</v>
      </c>
      <c r="R58" s="35">
        <f t="shared" si="8"/>
        <v>78507</v>
      </c>
      <c r="S58" s="43">
        <v>78507</v>
      </c>
      <c r="T58" s="32">
        <f t="shared" si="0"/>
        <v>13762.372859999999</v>
      </c>
      <c r="U58" s="30" t="str">
        <f t="shared" si="1"/>
        <v>Not Cost-Effective</v>
      </c>
      <c r="V58" s="30" t="str">
        <f t="shared" si="2"/>
        <v>Not Cost-Effective</v>
      </c>
      <c r="W58" s="41">
        <f t="shared" si="3"/>
        <v>5.7044668676416022</v>
      </c>
      <c r="X58" s="42">
        <f t="shared" si="4"/>
        <v>0</v>
      </c>
      <c r="Y58" s="30" t="str">
        <f t="shared" si="5"/>
        <v>No Threshold</v>
      </c>
      <c r="Z58" s="42">
        <f t="shared" si="6"/>
        <v>0.58542832106625986</v>
      </c>
      <c r="AA58" s="30" t="str">
        <f t="shared" si="7"/>
        <v>Not Cost-Effective</v>
      </c>
    </row>
    <row r="59" spans="1:31" s="30" customFormat="1" ht="12.75" customHeight="1">
      <c r="A59" s="40">
        <f>IF(E59=data!F138,data!A138,data!A138+1)</f>
        <v>43</v>
      </c>
      <c r="B59" s="40">
        <f>IF(E59=data!F138,data!B138+1,1)</f>
        <v>9</v>
      </c>
      <c r="C59" s="30" t="s">
        <v>522</v>
      </c>
      <c r="D59" s="40">
        <v>2013</v>
      </c>
      <c r="E59" s="30" t="s">
        <v>523</v>
      </c>
      <c r="F59" s="9" t="s">
        <v>1037</v>
      </c>
      <c r="G59" s="44" t="s">
        <v>1395</v>
      </c>
      <c r="H59" s="40" t="s">
        <v>1396</v>
      </c>
      <c r="I59" s="40" t="s">
        <v>151</v>
      </c>
      <c r="J59" s="40" t="s">
        <v>198</v>
      </c>
      <c r="K59" s="40">
        <v>4</v>
      </c>
      <c r="L59" s="40" t="s">
        <v>157</v>
      </c>
      <c r="M59" s="30" t="s">
        <v>167</v>
      </c>
      <c r="N59" s="30" t="s">
        <v>699</v>
      </c>
      <c r="O59" s="40">
        <v>2008</v>
      </c>
      <c r="P59" s="30" t="s">
        <v>1397</v>
      </c>
      <c r="Q59" s="35">
        <v>-230.13</v>
      </c>
      <c r="R59" s="43">
        <v>-230.13</v>
      </c>
      <c r="S59" s="32">
        <f>VLOOKUP(F59,gdppc,O59-1958,FALSE)</f>
        <v>10751.481599999999</v>
      </c>
      <c r="T59" s="30" t="str">
        <f>IF(R59&lt;S59,"Cost-Effective","Not Cost-Effective")</f>
        <v>Cost-Effective</v>
      </c>
      <c r="U59" s="30" t="str">
        <f>IF(R59&lt;S59*3,"Cost-Effective","Not Cost-Effective")</f>
        <v>Cost-Effective</v>
      </c>
      <c r="V59" s="41">
        <f>R59/S59</f>
        <v>-2.1404491823712929E-2</v>
      </c>
      <c r="W59" s="42">
        <f>IFERROR(VLOOKUP(F59,ochalek,11,FALSE),0)</f>
        <v>0</v>
      </c>
      <c r="X59" s="30" t="str">
        <f>IF( V59&lt;W59, "Cost-Effective", IF( V59-W59=V59, "No Threshold", "Not Cost-Effective"))</f>
        <v>Cost-Effective</v>
      </c>
      <c r="Y59" s="42">
        <f>IFERROR(VLOOKUP(F59,woods,6,FALSE),0)</f>
        <v>0.59559665657635663</v>
      </c>
      <c r="Z59" s="30" t="str">
        <f>IF( V59&lt;Y59, "Cost-Effective", IF( V59-Y59=V59, "No Threshold", "Not Cost-Effective"))</f>
        <v>Cost-Effective</v>
      </c>
    </row>
    <row r="60" spans="1:31" s="30" customFormat="1" ht="12.75" customHeight="1">
      <c r="A60" s="40">
        <f>IF(E60=E59,A59,A59+1)</f>
        <v>43</v>
      </c>
      <c r="B60" s="40">
        <f>IF(E60=E59,B59+1,1)</f>
        <v>10</v>
      </c>
      <c r="C60" s="30" t="s">
        <v>522</v>
      </c>
      <c r="D60" s="40">
        <v>2013</v>
      </c>
      <c r="E60" s="30" t="s">
        <v>523</v>
      </c>
      <c r="F60" s="9" t="s">
        <v>1037</v>
      </c>
      <c r="G60" s="44" t="s">
        <v>1395</v>
      </c>
      <c r="H60" s="40" t="s">
        <v>1396</v>
      </c>
      <c r="I60" s="40" t="s">
        <v>151</v>
      </c>
      <c r="J60" s="40" t="s">
        <v>198</v>
      </c>
      <c r="K60" s="40">
        <v>4</v>
      </c>
      <c r="L60" s="40" t="s">
        <v>157</v>
      </c>
      <c r="M60" s="30" t="s">
        <v>153</v>
      </c>
      <c r="N60" s="30" t="s">
        <v>699</v>
      </c>
      <c r="O60" s="40">
        <v>2008</v>
      </c>
      <c r="P60" s="30" t="s">
        <v>1398</v>
      </c>
      <c r="Q60" s="35">
        <v>-2133.38</v>
      </c>
      <c r="R60" s="43">
        <v>-2133.38</v>
      </c>
      <c r="S60" s="32">
        <f>VLOOKUP(F60,gdppc,O60-1958,FALSE)</f>
        <v>10751.481599999999</v>
      </c>
      <c r="T60" s="30" t="str">
        <f>IF(R60&lt;S60,"Cost-Effective","Not Cost-Effective")</f>
        <v>Cost-Effective</v>
      </c>
      <c r="U60" s="30" t="str">
        <f>IF(R60&lt;S60*3,"Cost-Effective","Not Cost-Effective")</f>
        <v>Cost-Effective</v>
      </c>
      <c r="V60" s="41">
        <f>R60/S60</f>
        <v>-0.19842660568753615</v>
      </c>
      <c r="W60" s="42">
        <f>IFERROR(VLOOKUP(F60,ochalek,11,FALSE),0)</f>
        <v>0</v>
      </c>
      <c r="X60" s="30" t="str">
        <f>IF( V60&lt;W60, "Cost-Effective", IF( V60-W60=V60, "No Threshold", "Not Cost-Effective"))</f>
        <v>Cost-Effective</v>
      </c>
      <c r="Y60" s="42">
        <f>IFERROR(VLOOKUP(F60,woods,6,FALSE),0)</f>
        <v>0.59559665657635663</v>
      </c>
      <c r="Z60" s="30" t="str">
        <f>IF( V60&lt;Y60, "Cost-Effective", IF( V60-Y60=V60, "No Threshold", "Not Cost-Effective"))</f>
        <v>Cost-Effective</v>
      </c>
    </row>
    <row r="61" spans="1:31" s="30" customFormat="1" ht="12.75" customHeight="1">
      <c r="A61" s="40">
        <f>IF(E61=E60,A60,A60+1)</f>
        <v>43</v>
      </c>
      <c r="B61" s="40">
        <f>IF(E61=E60,B60+1,1)</f>
        <v>11</v>
      </c>
      <c r="C61" s="30" t="s">
        <v>522</v>
      </c>
      <c r="D61" s="40">
        <v>2013</v>
      </c>
      <c r="E61" s="30" t="s">
        <v>523</v>
      </c>
      <c r="F61" s="9" t="s">
        <v>1037</v>
      </c>
      <c r="G61" s="44" t="s">
        <v>1395</v>
      </c>
      <c r="H61" s="40" t="s">
        <v>1396</v>
      </c>
      <c r="I61" s="40" t="s">
        <v>151</v>
      </c>
      <c r="J61" s="40" t="s">
        <v>198</v>
      </c>
      <c r="K61" s="40">
        <v>4</v>
      </c>
      <c r="L61" s="40" t="s">
        <v>148</v>
      </c>
      <c r="M61" s="30" t="s">
        <v>167</v>
      </c>
      <c r="N61" s="30" t="s">
        <v>699</v>
      </c>
      <c r="O61" s="40">
        <v>2008</v>
      </c>
      <c r="P61" s="30" t="s">
        <v>1399</v>
      </c>
      <c r="Q61" s="35">
        <v>-235.11</v>
      </c>
      <c r="R61" s="43">
        <v>-235.11</v>
      </c>
      <c r="S61" s="32">
        <f>VLOOKUP(F61,gdppc,O61-1958,FALSE)</f>
        <v>10751.481599999999</v>
      </c>
      <c r="T61" s="30" t="str">
        <f>IF(R61&lt;S61,"Cost-Effective","Not Cost-Effective")</f>
        <v>Cost-Effective</v>
      </c>
      <c r="U61" s="30" t="str">
        <f>IF(R61&lt;S61*3,"Cost-Effective","Not Cost-Effective")</f>
        <v>Cost-Effective</v>
      </c>
      <c r="V61" s="41">
        <f>R61/S61</f>
        <v>-2.1867683799040315E-2</v>
      </c>
      <c r="W61" s="42">
        <f>IFERROR(VLOOKUP(F61,ochalek,11,FALSE),0)</f>
        <v>0</v>
      </c>
      <c r="X61" s="30" t="str">
        <f>IF( V61&lt;W61, "Cost-Effective", IF( V61-W61=V61, "No Threshold", "Not Cost-Effective"))</f>
        <v>Cost-Effective</v>
      </c>
      <c r="Y61" s="42">
        <f>IFERROR(VLOOKUP(F61,woods,6,FALSE),0)</f>
        <v>0.59559665657635663</v>
      </c>
      <c r="Z61" s="30" t="str">
        <f>IF( V61&lt;Y61, "Cost-Effective", IF( V61-Y61=V61, "No Threshold", "Not Cost-Effective"))</f>
        <v>Cost-Effective</v>
      </c>
    </row>
    <row r="62" spans="1:31" s="30" customFormat="1" ht="12.75" customHeight="1">
      <c r="A62" s="40">
        <f>IF(E62=E61,A61,A61+1)</f>
        <v>43</v>
      </c>
      <c r="B62" s="40">
        <f>IF(E62=E61,B61+1,1)</f>
        <v>12</v>
      </c>
      <c r="C62" s="30" t="s">
        <v>522</v>
      </c>
      <c r="D62" s="40">
        <v>2013</v>
      </c>
      <c r="E62" s="30" t="s">
        <v>523</v>
      </c>
      <c r="F62" s="9" t="s">
        <v>1037</v>
      </c>
      <c r="G62" s="44" t="s">
        <v>1395</v>
      </c>
      <c r="H62" s="40" t="s">
        <v>1396</v>
      </c>
      <c r="I62" s="40" t="s">
        <v>151</v>
      </c>
      <c r="J62" s="40" t="s">
        <v>198</v>
      </c>
      <c r="K62" s="40">
        <v>4</v>
      </c>
      <c r="L62" s="40" t="s">
        <v>148</v>
      </c>
      <c r="M62" s="30" t="s">
        <v>153</v>
      </c>
      <c r="N62" s="30" t="s">
        <v>699</v>
      </c>
      <c r="O62" s="40">
        <v>2008</v>
      </c>
      <c r="P62" s="30" t="s">
        <v>1400</v>
      </c>
      <c r="Q62" s="35">
        <v>-2141.37</v>
      </c>
      <c r="R62" s="43">
        <v>-2141.37</v>
      </c>
      <c r="S62" s="32">
        <f>VLOOKUP(F62,gdppc,O62-1958,FALSE)</f>
        <v>10751.481599999999</v>
      </c>
      <c r="T62" s="30" t="str">
        <f>IF(R62&lt;S62,"Cost-Effective","Not Cost-Effective")</f>
        <v>Cost-Effective</v>
      </c>
      <c r="U62" s="30" t="str">
        <f>IF(R62&lt;S62*3,"Cost-Effective","Not Cost-Effective")</f>
        <v>Cost-Effective</v>
      </c>
      <c r="V62" s="41">
        <f>R62/S62</f>
        <v>-0.19916975907766982</v>
      </c>
      <c r="W62" s="42">
        <f>IFERROR(VLOOKUP(F62,ochalek,11,FALSE),0)</f>
        <v>0</v>
      </c>
      <c r="X62" s="30" t="str">
        <f>IF( V62&lt;W62, "Cost-Effective", IF( V62-W62=V62, "No Threshold", "Not Cost-Effective"))</f>
        <v>Cost-Effective</v>
      </c>
      <c r="Y62" s="42">
        <f>IFERROR(VLOOKUP(F62,woods,6,FALSE),0)</f>
        <v>0.59559665657635663</v>
      </c>
      <c r="Z62" s="30" t="str">
        <f>IF( V62&lt;Y62, "Cost-Effective", IF( V62-Y62=V62, "No Threshold", "Not Cost-Effective"))</f>
        <v>Cost-Effective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fulltext_review</vt:lpstr>
      <vt:lpstr>studies</vt:lpstr>
      <vt:lpstr>data</vt:lpstr>
      <vt:lpstr>countries</vt:lpstr>
      <vt:lpstr>sam random</vt:lpstr>
      <vt:lpstr>studies_NC</vt:lpstr>
      <vt:lpstr>analysis</vt:lpstr>
      <vt:lpstr>studies (AP)</vt:lpstr>
      <vt:lpstr>analysis (AP)</vt:lpstr>
      <vt:lpstr>thresholds</vt:lpstr>
      <vt:lpstr>gdppc</vt:lpstr>
      <vt:lpstr>xRates</vt:lpstr>
      <vt:lpstr>ppp</vt:lpstr>
      <vt:lpstr>incomeGroup</vt:lpstr>
      <vt:lpstr>Rivere</vt:lpstr>
      <vt:lpstr>high_income_archived</vt:lpstr>
      <vt:lpstr>gdppc</vt:lpstr>
      <vt:lpstr>income</vt:lpstr>
      <vt:lpstr>ochalek</vt:lpstr>
      <vt:lpstr>riviere</vt:lpstr>
      <vt:lpstr>woods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Edifofon Akpan</dc:creator>
  <cp:keywords/>
  <dc:description/>
  <cp:lastModifiedBy>Edifofon Akpan</cp:lastModifiedBy>
  <cp:revision/>
  <dcterms:created xsi:type="dcterms:W3CDTF">2022-01-16T21:51:44Z</dcterms:created>
  <dcterms:modified xsi:type="dcterms:W3CDTF">2024-06-13T17:15:23Z</dcterms:modified>
  <cp:category/>
  <cp:contentStatus/>
</cp:coreProperties>
</file>